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bookViews>
    <workbookView xWindow="10755" yWindow="825" windowWidth="8445" windowHeight="7020" tabRatio="854" activeTab="2"/>
  </bookViews>
  <sheets>
    <sheet name="СПИСОК КЛАССА" sheetId="1" r:id="rId1"/>
    <sheet name="ПРОТОКОЛ" sheetId="6" r:id="rId2"/>
    <sheet name="Анкета учителя" sheetId="7" r:id="rId3"/>
    <sheet name="Ответы учащихся" sheetId="2" r:id="rId4"/>
    <sheet name="Результаты_Класс" sheetId="3" r:id="rId5"/>
    <sheet name="План_Анализ" sheetId="9" r:id="rId6"/>
    <sheet name="Ученик" sheetId="27" r:id="rId7"/>
    <sheet name="Ученик_Диаграмма" sheetId="21" r:id="rId8"/>
    <sheet name="Коридор" sheetId="25" r:id="rId9"/>
    <sheet name="Д-класс" sheetId="17" r:id="rId10"/>
    <sheet name="Уровни" sheetId="18" r:id="rId11"/>
    <sheet name="Базовый_Уч" sheetId="22" r:id="rId12"/>
    <sheet name="Базовый_З" sheetId="26" r:id="rId13"/>
    <sheet name="Пов_З" sheetId="19" r:id="rId14"/>
    <sheet name="Критерии" sheetId="28" r:id="rId15"/>
    <sheet name="КИМ" sheetId="20" r:id="rId16"/>
  </sheets>
  <definedNames>
    <definedName name="Z_BFE542F4_8A0C_4C42_A5CA_C7B0ACF2717E_.wvu.Cols" localSheetId="3" hidden="1">'Ответы учащихся'!$A:$B,'Ответы учащихся'!#REF!,'Ответы учащихся'!#REF!</definedName>
    <definedName name="Z_BFE542F4_8A0C_4C42_A5CA_C7B0ACF2717E_.wvu.Cols" localSheetId="4" hidden="1">Результаты_Класс!$A:$B,Результаты_Класс!$E:$E</definedName>
    <definedName name="Z_BFE542F4_8A0C_4C42_A5CA_C7B0ACF2717E_.wvu.Cols" localSheetId="0" hidden="1">'СПИСОК КЛАССА'!$K:$L,'СПИСОК КЛАССА'!$N:$N</definedName>
    <definedName name="Z_BFE542F4_8A0C_4C42_A5CA_C7B0ACF2717E_.wvu.PrintArea" localSheetId="3" hidden="1">'Ответы учащихся'!$A$1:$AG$59</definedName>
    <definedName name="Z_BFE542F4_8A0C_4C42_A5CA_C7B0ACF2717E_.wvu.PrintArea" localSheetId="4" hidden="1">Результаты_Класс!$A$1:$AL$59</definedName>
    <definedName name="Z_BFE542F4_8A0C_4C42_A5CA_C7B0ACF2717E_.wvu.PrintTitles" localSheetId="8" hidden="1">Коридор!$5:$6</definedName>
    <definedName name="Z_BFE542F4_8A0C_4C42_A5CA_C7B0ACF2717E_.wvu.PrintTitles" localSheetId="5" hidden="1">План_Анализ!$8:$9</definedName>
    <definedName name="Z_BFE542F4_8A0C_4C42_A5CA_C7B0ACF2717E_.wvu.Rows" localSheetId="2" hidden="1">'Анкета учителя'!$52:$65</definedName>
    <definedName name="Z_BFE542F4_8A0C_4C42_A5CA_C7B0ACF2717E_.wvu.Rows" localSheetId="3" hidden="1">'Ответы учащихся'!#REF!</definedName>
    <definedName name="Z_BFE542F4_8A0C_4C42_A5CA_C7B0ACF2717E_.wvu.Rows" localSheetId="1" hidden="1">ПРОТОКОЛ!$60:$68</definedName>
    <definedName name="Z_BFE542F4_8A0C_4C42_A5CA_C7B0ACF2717E_.wvu.Rows" localSheetId="4" hidden="1">Результаты_Класс!$16:$19</definedName>
    <definedName name="Z_BFE542F4_8A0C_4C42_A5CA_C7B0ACF2717E_.wvu.Rows" localSheetId="0" hidden="1">'СПИСОК КЛАССА'!$6:$6</definedName>
    <definedName name="_xlnm.Print_Titles" localSheetId="5">План_Анализ!$8:$9</definedName>
    <definedName name="_xlnm.Print_Area" localSheetId="3">'Ответы учащихся'!$A$1:$AG$59</definedName>
    <definedName name="_xlnm.Print_Area" localSheetId="4">Результаты_Класс!$A$1:$AL$59</definedName>
  </definedNames>
  <calcPr calcId="145621"/>
  <customWorkbookViews>
    <customWorkbookView name="РЦОКО - Личное представление" guid="{BFE542F4-8A0C-4C42-A5CA-C7B0ACF2717E}" mergeInterval="0" personalView="1" maximized="1" windowWidth="1676" windowHeight="811" tabRatio="810" activeSheetId="8"/>
  </customWorkbookViews>
</workbook>
</file>

<file path=xl/calcChain.xml><?xml version="1.0" encoding="utf-8"?>
<calcChain xmlns="http://schemas.openxmlformats.org/spreadsheetml/2006/main">
  <c r="E21" i="1" l="1"/>
  <c r="D101" i="28" l="1"/>
  <c r="E101" i="28"/>
  <c r="F101" i="28"/>
  <c r="C101" i="28"/>
  <c r="D52" i="28"/>
  <c r="E52" i="28"/>
  <c r="F52" i="28"/>
  <c r="C52" i="28"/>
  <c r="B5" i="28"/>
  <c r="D8" i="28"/>
  <c r="E8" i="28"/>
  <c r="F8" i="28"/>
  <c r="G8" i="28"/>
  <c r="C8" i="28"/>
  <c r="E7" i="2" l="1"/>
  <c r="E6" i="2"/>
  <c r="C3" i="9" s="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A4" i="27"/>
  <c r="D4" i="27" s="1"/>
  <c r="C4" i="27"/>
  <c r="A5" i="27"/>
  <c r="D5" i="27" s="1"/>
  <c r="C5" i="27"/>
  <c r="A6" i="27"/>
  <c r="D6" i="27" s="1"/>
  <c r="C6" i="27"/>
  <c r="A7" i="27"/>
  <c r="D7" i="27" s="1"/>
  <c r="C7" i="27"/>
  <c r="A8" i="27"/>
  <c r="D8" i="27" s="1"/>
  <c r="C8" i="27"/>
  <c r="A9" i="27"/>
  <c r="D9" i="27" s="1"/>
  <c r="C9" i="27"/>
  <c r="A10" i="27"/>
  <c r="D10" i="27" s="1"/>
  <c r="C10" i="27"/>
  <c r="A11" i="27"/>
  <c r="D11" i="27" s="1"/>
  <c r="C11" i="27"/>
  <c r="A12" i="27"/>
  <c r="D12" i="27" s="1"/>
  <c r="C12" i="27"/>
  <c r="A13" i="27"/>
  <c r="D13" i="27" s="1"/>
  <c r="C13" i="27"/>
  <c r="A14" i="27"/>
  <c r="D14" i="27" s="1"/>
  <c r="C14" i="27"/>
  <c r="A15" i="27"/>
  <c r="D15" i="27" s="1"/>
  <c r="C15" i="27"/>
  <c r="A16" i="27"/>
  <c r="D16" i="27" s="1"/>
  <c r="C16" i="27"/>
  <c r="A17" i="27"/>
  <c r="D17" i="27" s="1"/>
  <c r="C17" i="27"/>
  <c r="A18" i="27"/>
  <c r="D18" i="27" s="1"/>
  <c r="C18" i="27"/>
  <c r="A19" i="27"/>
  <c r="D19" i="27" s="1"/>
  <c r="C19" i="27"/>
  <c r="A20" i="27"/>
  <c r="D20" i="27" s="1"/>
  <c r="C20" i="27"/>
  <c r="A21" i="27"/>
  <c r="C21" i="27"/>
  <c r="D21" i="27"/>
  <c r="A22" i="27"/>
  <c r="D22" i="27" s="1"/>
  <c r="C22" i="27"/>
  <c r="A23" i="27"/>
  <c r="D23" i="27" s="1"/>
  <c r="C23" i="27"/>
  <c r="A24" i="27"/>
  <c r="D24" i="27" s="1"/>
  <c r="C24" i="27"/>
  <c r="A25" i="27"/>
  <c r="D25" i="27" s="1"/>
  <c r="C25" i="27"/>
  <c r="A26" i="27"/>
  <c r="D26" i="27" s="1"/>
  <c r="C26" i="27"/>
  <c r="A27" i="27"/>
  <c r="D27" i="27" s="1"/>
  <c r="C27" i="27"/>
  <c r="A28" i="27"/>
  <c r="D28" i="27" s="1"/>
  <c r="C28" i="27"/>
  <c r="A29" i="27"/>
  <c r="C29" i="27"/>
  <c r="D29" i="27"/>
  <c r="A30" i="27"/>
  <c r="C30" i="27"/>
  <c r="D30" i="27"/>
  <c r="A31" i="27"/>
  <c r="D31" i="27" s="1"/>
  <c r="C31" i="27"/>
  <c r="A32" i="27"/>
  <c r="D32" i="27" s="1"/>
  <c r="C32" i="27"/>
  <c r="A33" i="27"/>
  <c r="C33" i="27"/>
  <c r="D33" i="27"/>
  <c r="A34" i="27"/>
  <c r="C34" i="27"/>
  <c r="D34" i="27"/>
  <c r="A35" i="27"/>
  <c r="D35" i="27" s="1"/>
  <c r="C35" i="27"/>
  <c r="A36" i="27"/>
  <c r="D36" i="27" s="1"/>
  <c r="C36" i="27"/>
  <c r="A37" i="27"/>
  <c r="C37" i="27"/>
  <c r="D37" i="27"/>
  <c r="A38" i="27"/>
  <c r="C38" i="27"/>
  <c r="D38" i="27"/>
  <c r="A39" i="27"/>
  <c r="C39" i="27"/>
  <c r="D39" i="27"/>
  <c r="A40" i="27"/>
  <c r="C40" i="27"/>
  <c r="D40" i="27"/>
  <c r="A41" i="27"/>
  <c r="C41" i="27"/>
  <c r="D41" i="27"/>
  <c r="A42" i="27"/>
  <c r="C42" i="27"/>
  <c r="D42" i="27"/>
  <c r="A43" i="27"/>
  <c r="C43" i="27"/>
  <c r="D43" i="27"/>
  <c r="C45" i="27"/>
  <c r="C46" i="27"/>
  <c r="C47" i="27"/>
  <c r="C48" i="27"/>
  <c r="C51" i="27"/>
  <c r="C50" i="27"/>
  <c r="C49" i="27"/>
  <c r="C2" i="21"/>
  <c r="C3" i="21"/>
  <c r="C4" i="21"/>
  <c r="C5" i="21"/>
  <c r="C6" i="21"/>
  <c r="C7" i="21"/>
  <c r="D3" i="9"/>
  <c r="B3" i="9"/>
  <c r="I39" i="27" l="1"/>
  <c r="H3" i="9"/>
  <c r="G41" i="27"/>
  <c r="F42" i="27"/>
  <c r="K42" i="27"/>
  <c r="H41" i="27"/>
  <c r="F38" i="27"/>
  <c r="G39" i="27"/>
  <c r="H43" i="27"/>
  <c r="F39" i="27"/>
  <c r="K38" i="27"/>
  <c r="I43" i="27"/>
  <c r="G43" i="27"/>
  <c r="F43" i="27"/>
  <c r="H39" i="27"/>
  <c r="F40" i="27"/>
  <c r="K40" i="27"/>
  <c r="G40" i="27"/>
  <c r="I40" i="27"/>
  <c r="E43" i="27"/>
  <c r="H42" i="27"/>
  <c r="E42" i="27"/>
  <c r="I42" i="27"/>
  <c r="H40" i="27"/>
  <c r="E39" i="27"/>
  <c r="H38" i="27"/>
  <c r="E38" i="27"/>
  <c r="I38" i="27"/>
  <c r="K43" i="27"/>
  <c r="G42" i="27"/>
  <c r="E41" i="27"/>
  <c r="I41" i="27"/>
  <c r="F41" i="27"/>
  <c r="K41" i="27"/>
  <c r="E40" i="27"/>
  <c r="K39" i="27"/>
  <c r="G38" i="27"/>
  <c r="J41" i="19" l="1"/>
  <c r="H41" i="19"/>
  <c r="F41" i="19"/>
  <c r="D41" i="19"/>
  <c r="J40" i="19"/>
  <c r="H40" i="19"/>
  <c r="F40" i="19"/>
  <c r="D40" i="19"/>
  <c r="C40" i="19"/>
  <c r="E22" i="1" l="1"/>
  <c r="E23" i="1"/>
  <c r="E24" i="1"/>
  <c r="E25" i="1"/>
  <c r="E26" i="1"/>
  <c r="E27" i="1"/>
  <c r="E20"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C20" i="3"/>
  <c r="R2" i="25"/>
  <c r="B2" i="25"/>
  <c r="A3" i="20"/>
  <c r="B4" i="20"/>
  <c r="N4" i="20"/>
  <c r="A1" i="19"/>
  <c r="B3" i="19"/>
  <c r="M3" i="19"/>
  <c r="C2" i="22"/>
  <c r="F2" i="22"/>
  <c r="B3" i="18"/>
  <c r="K3" i="18"/>
  <c r="B2" i="17"/>
  <c r="F2" i="17"/>
  <c r="B2" i="9"/>
  <c r="I2" i="9"/>
  <c r="I2" i="3"/>
  <c r="O2" i="3"/>
  <c r="G4" i="3"/>
  <c r="B3" i="28" s="1"/>
  <c r="K6" i="3"/>
  <c r="A20" i="3"/>
  <c r="A21" i="3"/>
  <c r="C21" i="3"/>
  <c r="A22" i="3"/>
  <c r="C22" i="3"/>
  <c r="A23" i="3"/>
  <c r="C23" i="3"/>
  <c r="A24" i="3"/>
  <c r="C24" i="3"/>
  <c r="A25" i="3"/>
  <c r="C25" i="3"/>
  <c r="A26" i="3"/>
  <c r="C26" i="3"/>
  <c r="A27" i="3"/>
  <c r="D27" i="3" s="1"/>
  <c r="C27" i="3"/>
  <c r="A28" i="3"/>
  <c r="C28" i="3"/>
  <c r="A29" i="3"/>
  <c r="C29" i="3"/>
  <c r="A30" i="3"/>
  <c r="C30" i="3"/>
  <c r="A31" i="3"/>
  <c r="C31" i="3"/>
  <c r="A32" i="3"/>
  <c r="C32" i="3"/>
  <c r="A33" i="3"/>
  <c r="C33" i="3"/>
  <c r="A34" i="3"/>
  <c r="C34" i="3"/>
  <c r="A35" i="3"/>
  <c r="C35" i="3"/>
  <c r="A36" i="3"/>
  <c r="C36" i="3"/>
  <c r="A37" i="3"/>
  <c r="C37" i="3"/>
  <c r="A38" i="3"/>
  <c r="C38" i="3"/>
  <c r="A39" i="3"/>
  <c r="C39" i="3"/>
  <c r="A40" i="3"/>
  <c r="C40" i="3"/>
  <c r="A41" i="3"/>
  <c r="C41" i="3"/>
  <c r="A42" i="3"/>
  <c r="C42" i="3"/>
  <c r="A43" i="3"/>
  <c r="C43" i="3"/>
  <c r="A44" i="3"/>
  <c r="C44" i="3"/>
  <c r="A45" i="3"/>
  <c r="D45" i="3"/>
  <c r="C45" i="3"/>
  <c r="A46" i="3"/>
  <c r="D46" i="3"/>
  <c r="C46" i="3"/>
  <c r="A47" i="3"/>
  <c r="D47" i="3" s="1"/>
  <c r="C47" i="3"/>
  <c r="A48" i="3"/>
  <c r="D48" i="3" s="1"/>
  <c r="C48" i="3"/>
  <c r="A49" i="3"/>
  <c r="D49" i="3" s="1"/>
  <c r="C49" i="3"/>
  <c r="A50" i="3"/>
  <c r="D50" i="3" s="1"/>
  <c r="C50" i="3"/>
  <c r="A51" i="3"/>
  <c r="C51" i="3"/>
  <c r="D51" i="3"/>
  <c r="A52" i="3"/>
  <c r="C52" i="3"/>
  <c r="D52" i="3"/>
  <c r="A53" i="3"/>
  <c r="D53" i="3" s="1"/>
  <c r="C53" i="3"/>
  <c r="A54" i="3"/>
  <c r="C54" i="3"/>
  <c r="D54" i="3"/>
  <c r="A55" i="3"/>
  <c r="C55" i="3"/>
  <c r="D55" i="3"/>
  <c r="A56" i="3"/>
  <c r="C56" i="3"/>
  <c r="D56" i="3"/>
  <c r="A57" i="3"/>
  <c r="C57" i="3"/>
  <c r="D57" i="3"/>
  <c r="A58" i="3"/>
  <c r="C58" i="3"/>
  <c r="D58" i="3"/>
  <c r="A59" i="3"/>
  <c r="C59" i="3"/>
  <c r="D59" i="3"/>
  <c r="G3" i="28"/>
  <c r="G4" i="2"/>
  <c r="F6" i="3"/>
  <c r="C5" i="28" s="1"/>
  <c r="A20" i="2"/>
  <c r="D20" i="2" s="1"/>
  <c r="C20" i="2"/>
  <c r="A21" i="2"/>
  <c r="D21" i="2" s="1"/>
  <c r="C21" i="2"/>
  <c r="A22" i="2"/>
  <c r="D22" i="2" s="1"/>
  <c r="C22" i="2"/>
  <c r="A23" i="2"/>
  <c r="D23" i="2" s="1"/>
  <c r="C23" i="2"/>
  <c r="A24" i="2"/>
  <c r="D24" i="2" s="1"/>
  <c r="C24" i="2"/>
  <c r="A25" i="2"/>
  <c r="D25" i="2" s="1"/>
  <c r="C25" i="2"/>
  <c r="A26" i="2"/>
  <c r="D26" i="2" s="1"/>
  <c r="C26" i="2"/>
  <c r="A27" i="2"/>
  <c r="D27" i="2" s="1"/>
  <c r="C27" i="2"/>
  <c r="A28" i="2"/>
  <c r="D28" i="2" s="1"/>
  <c r="C28" i="2"/>
  <c r="A29" i="2"/>
  <c r="D29" i="2" s="1"/>
  <c r="C29" i="2"/>
  <c r="A30" i="2"/>
  <c r="D30" i="2" s="1"/>
  <c r="C30" i="2"/>
  <c r="A31" i="2"/>
  <c r="D31" i="2" s="1"/>
  <c r="C31" i="2"/>
  <c r="A32" i="2"/>
  <c r="D32" i="2" s="1"/>
  <c r="C32" i="2"/>
  <c r="A33" i="2"/>
  <c r="D33" i="2" s="1"/>
  <c r="C33" i="2"/>
  <c r="A34" i="2"/>
  <c r="D34" i="2" s="1"/>
  <c r="C34" i="2"/>
  <c r="A35" i="2"/>
  <c r="D35" i="2" s="1"/>
  <c r="C35" i="2"/>
  <c r="A36" i="2"/>
  <c r="D36" i="2" s="1"/>
  <c r="C36" i="2"/>
  <c r="A37" i="2"/>
  <c r="D37" i="2" s="1"/>
  <c r="C37" i="2"/>
  <c r="A38" i="2"/>
  <c r="D38" i="2" s="1"/>
  <c r="C38" i="2"/>
  <c r="A39" i="2"/>
  <c r="D39" i="2" s="1"/>
  <c r="C39" i="2"/>
  <c r="A40" i="2"/>
  <c r="D40" i="2" s="1"/>
  <c r="C40" i="2"/>
  <c r="A41" i="2"/>
  <c r="D41" i="2" s="1"/>
  <c r="C41" i="2"/>
  <c r="A42" i="2"/>
  <c r="D42" i="2" s="1"/>
  <c r="C42" i="2"/>
  <c r="A43" i="2"/>
  <c r="D43" i="2" s="1"/>
  <c r="C43" i="2"/>
  <c r="A44" i="2"/>
  <c r="D44" i="2" s="1"/>
  <c r="C44" i="2"/>
  <c r="A45" i="2"/>
  <c r="D45" i="2" s="1"/>
  <c r="C45" i="2"/>
  <c r="A46" i="2"/>
  <c r="D46" i="2" s="1"/>
  <c r="C46" i="2"/>
  <c r="A47" i="2"/>
  <c r="D47" i="2" s="1"/>
  <c r="C47" i="2"/>
  <c r="A48" i="2"/>
  <c r="D48" i="2"/>
  <c r="C48" i="2"/>
  <c r="A49" i="2"/>
  <c r="C49" i="2"/>
  <c r="D49" i="2"/>
  <c r="A50" i="2"/>
  <c r="D50" i="2" s="1"/>
  <c r="C50" i="2"/>
  <c r="A51" i="2"/>
  <c r="D51" i="2" s="1"/>
  <c r="C51" i="2"/>
  <c r="A52" i="2"/>
  <c r="C52" i="2"/>
  <c r="D52" i="2"/>
  <c r="A53" i="2"/>
  <c r="C53" i="2"/>
  <c r="D53" i="2"/>
  <c r="A54" i="2"/>
  <c r="C54" i="2"/>
  <c r="D54" i="2"/>
  <c r="A55" i="2"/>
  <c r="C55" i="2"/>
  <c r="D55" i="2"/>
  <c r="A56" i="2"/>
  <c r="C56" i="2"/>
  <c r="D56" i="2"/>
  <c r="A57" i="2"/>
  <c r="C57" i="2"/>
  <c r="D57" i="2"/>
  <c r="A58" i="2"/>
  <c r="C58" i="2"/>
  <c r="D58" i="2"/>
  <c r="A59" i="2"/>
  <c r="C59" i="2"/>
  <c r="D59" i="2"/>
  <c r="E2" i="7"/>
  <c r="H2" i="7"/>
  <c r="B7" i="7"/>
  <c r="B1" i="6"/>
  <c r="E1" i="6"/>
  <c r="H1" i="6"/>
  <c r="D43" i="3"/>
  <c r="E47" i="3"/>
  <c r="D23" i="3"/>
  <c r="P59" i="3" l="1"/>
  <c r="I59" i="3"/>
  <c r="M59" i="3"/>
  <c r="R59" i="3"/>
  <c r="W59" i="3"/>
  <c r="K59" i="3"/>
  <c r="AA59" i="3"/>
  <c r="H59" i="3"/>
  <c r="Q59" i="3"/>
  <c r="AB59" i="3"/>
  <c r="U59" i="3"/>
  <c r="F59" i="3"/>
  <c r="J59" i="3"/>
  <c r="N59" i="3"/>
  <c r="S59" i="3"/>
  <c r="Y59" i="3"/>
  <c r="G59" i="3"/>
  <c r="O59" i="3"/>
  <c r="T59" i="3"/>
  <c r="L59" i="3"/>
  <c r="V59" i="3"/>
  <c r="AI59" i="3"/>
  <c r="AC59" i="3"/>
  <c r="AG59" i="3"/>
  <c r="AF59" i="3"/>
  <c r="AD59" i="3"/>
  <c r="AH59" i="3"/>
  <c r="AE59" i="3"/>
  <c r="P55" i="3"/>
  <c r="I55" i="3"/>
  <c r="M55" i="3"/>
  <c r="R55" i="3"/>
  <c r="W55" i="3"/>
  <c r="L55" i="3"/>
  <c r="V55" i="3"/>
  <c r="U55" i="3"/>
  <c r="F55" i="3"/>
  <c r="J55" i="3"/>
  <c r="N55" i="3"/>
  <c r="S55" i="3"/>
  <c r="Y55" i="3"/>
  <c r="G55" i="3"/>
  <c r="K55" i="3"/>
  <c r="O55" i="3"/>
  <c r="T55" i="3"/>
  <c r="AA55" i="3"/>
  <c r="H55" i="3"/>
  <c r="Q55" i="3"/>
  <c r="AB55" i="3"/>
  <c r="AI55" i="3"/>
  <c r="AC55" i="3"/>
  <c r="AG55" i="3"/>
  <c r="AD55" i="3"/>
  <c r="AH55" i="3"/>
  <c r="AE55" i="3"/>
  <c r="AF55" i="3"/>
  <c r="P56" i="3"/>
  <c r="F56" i="3"/>
  <c r="J56" i="3"/>
  <c r="N56" i="3"/>
  <c r="S56" i="3"/>
  <c r="Y56" i="3"/>
  <c r="I56" i="3"/>
  <c r="R56" i="3"/>
  <c r="G56" i="3"/>
  <c r="K56" i="3"/>
  <c r="O56" i="3"/>
  <c r="T56" i="3"/>
  <c r="AA56" i="3"/>
  <c r="U56" i="3"/>
  <c r="H56" i="3"/>
  <c r="L56" i="3"/>
  <c r="Q56" i="3"/>
  <c r="V56" i="3"/>
  <c r="AB56" i="3"/>
  <c r="M56" i="3"/>
  <c r="W56" i="3"/>
  <c r="AI56" i="3"/>
  <c r="AE56" i="3"/>
  <c r="AF56" i="3"/>
  <c r="AC56" i="3"/>
  <c r="AG56" i="3"/>
  <c r="AD56" i="3"/>
  <c r="AH56" i="3"/>
  <c r="P58" i="3"/>
  <c r="U58" i="3"/>
  <c r="H58" i="3"/>
  <c r="L58" i="3"/>
  <c r="Q58" i="3"/>
  <c r="V58" i="3"/>
  <c r="AB58" i="3"/>
  <c r="N58" i="3"/>
  <c r="Y58" i="3"/>
  <c r="K58" i="3"/>
  <c r="T58" i="3"/>
  <c r="I58" i="3"/>
  <c r="M58" i="3"/>
  <c r="R58" i="3"/>
  <c r="W58" i="3"/>
  <c r="F58" i="3"/>
  <c r="J58" i="3"/>
  <c r="S58" i="3"/>
  <c r="G58" i="3"/>
  <c r="O58" i="3"/>
  <c r="AA58" i="3"/>
  <c r="AI58" i="3"/>
  <c r="AE58" i="3"/>
  <c r="AF58" i="3"/>
  <c r="AC58" i="3"/>
  <c r="AG58" i="3"/>
  <c r="AD58" i="3"/>
  <c r="AH58" i="3"/>
  <c r="P54" i="3"/>
  <c r="U54" i="3"/>
  <c r="H54" i="3"/>
  <c r="L54" i="3"/>
  <c r="Q54" i="3"/>
  <c r="V54" i="3"/>
  <c r="AB54" i="3"/>
  <c r="G54" i="3"/>
  <c r="O54" i="3"/>
  <c r="AA54" i="3"/>
  <c r="I54" i="3"/>
  <c r="M54" i="3"/>
  <c r="R54" i="3"/>
  <c r="W54" i="3"/>
  <c r="F54" i="3"/>
  <c r="J54" i="3"/>
  <c r="N54" i="3"/>
  <c r="S54" i="3"/>
  <c r="Y54" i="3"/>
  <c r="K54" i="3"/>
  <c r="T54" i="3"/>
  <c r="AI54" i="3"/>
  <c r="AE54" i="3"/>
  <c r="AH54" i="3"/>
  <c r="AF54" i="3"/>
  <c r="AC54" i="3"/>
  <c r="AG54" i="3"/>
  <c r="AD54" i="3"/>
  <c r="P57" i="3"/>
  <c r="G57" i="3"/>
  <c r="K57" i="3"/>
  <c r="O57" i="3"/>
  <c r="T57" i="3"/>
  <c r="AA57" i="3"/>
  <c r="F57" i="3"/>
  <c r="N57" i="3"/>
  <c r="Y57" i="3"/>
  <c r="H57" i="3"/>
  <c r="L57" i="3"/>
  <c r="Q57" i="3"/>
  <c r="V57" i="3"/>
  <c r="AB57" i="3"/>
  <c r="I57" i="3"/>
  <c r="M57" i="3"/>
  <c r="R57" i="3"/>
  <c r="W57" i="3"/>
  <c r="U57" i="3"/>
  <c r="J57" i="3"/>
  <c r="S57" i="3"/>
  <c r="AI57" i="3"/>
  <c r="AC57" i="3"/>
  <c r="AG57" i="3"/>
  <c r="AF57" i="3"/>
  <c r="AD57" i="3"/>
  <c r="AH57" i="3"/>
  <c r="AE57" i="3"/>
  <c r="AA53" i="3"/>
  <c r="F53" i="3"/>
  <c r="N53" i="3"/>
  <c r="Y53" i="3"/>
  <c r="AB53" i="3"/>
  <c r="AA51" i="3"/>
  <c r="F51" i="3"/>
  <c r="N51" i="3"/>
  <c r="Y51" i="3"/>
  <c r="AB51" i="3"/>
  <c r="AA49" i="3"/>
  <c r="AB49" i="3"/>
  <c r="F49" i="3"/>
  <c r="N49" i="3"/>
  <c r="Y49" i="3"/>
  <c r="F48" i="3"/>
  <c r="N48" i="3"/>
  <c r="Y48" i="3"/>
  <c r="AB48" i="3"/>
  <c r="AA48" i="3"/>
  <c r="AA45" i="3"/>
  <c r="AB45" i="3"/>
  <c r="F45" i="3"/>
  <c r="N45" i="3"/>
  <c r="Y45" i="3"/>
  <c r="F52" i="3"/>
  <c r="N52" i="3"/>
  <c r="Y52" i="3"/>
  <c r="AB52" i="3"/>
  <c r="AA52" i="3"/>
  <c r="F50" i="3"/>
  <c r="N50" i="3"/>
  <c r="Y50" i="3"/>
  <c r="AB50" i="3"/>
  <c r="AA50" i="3"/>
  <c r="P47" i="3"/>
  <c r="G47" i="3"/>
  <c r="I47" i="3"/>
  <c r="K47" i="3"/>
  <c r="M47" i="3"/>
  <c r="O47" i="3"/>
  <c r="R47" i="3"/>
  <c r="T47" i="3"/>
  <c r="W47" i="3"/>
  <c r="AA47" i="3"/>
  <c r="F47" i="3"/>
  <c r="J47" i="3"/>
  <c r="N47" i="3"/>
  <c r="S47" i="3"/>
  <c r="Y47" i="3"/>
  <c r="U47" i="3"/>
  <c r="H47" i="3"/>
  <c r="L47" i="3"/>
  <c r="Q47" i="3"/>
  <c r="V47" i="3"/>
  <c r="AB47" i="3"/>
  <c r="F46" i="3"/>
  <c r="N46" i="3"/>
  <c r="Y46" i="3"/>
  <c r="AB46" i="3"/>
  <c r="AA46" i="3"/>
  <c r="AA43" i="3"/>
  <c r="F43" i="3"/>
  <c r="N43" i="3"/>
  <c r="Y43" i="3"/>
  <c r="AB43" i="3"/>
  <c r="F27" i="3"/>
  <c r="N27" i="3"/>
  <c r="AA27" i="3"/>
  <c r="Y27" i="3"/>
  <c r="AB27" i="3"/>
  <c r="F23" i="3"/>
  <c r="N23" i="3"/>
  <c r="AA23" i="3"/>
  <c r="Y23" i="3"/>
  <c r="AB23" i="3"/>
  <c r="E102" i="28"/>
  <c r="C53" i="28"/>
  <c r="D102" i="28"/>
  <c r="F102" i="28"/>
  <c r="D53" i="28"/>
  <c r="G9" i="28"/>
  <c r="F9" i="28"/>
  <c r="C9" i="28"/>
  <c r="E9" i="28"/>
  <c r="D9" i="28"/>
  <c r="C102" i="28"/>
  <c r="F53" i="28"/>
  <c r="E53" i="28"/>
  <c r="E30" i="3"/>
  <c r="AW30" i="3" s="1"/>
  <c r="E44" i="3"/>
  <c r="AV44" i="3" s="1"/>
  <c r="AR26" i="2"/>
  <c r="AS59" i="3"/>
  <c r="AW59" i="3"/>
  <c r="AX59" i="3"/>
  <c r="AU59" i="3"/>
  <c r="AY59" i="3"/>
  <c r="AT59" i="3"/>
  <c r="AZ59" i="3"/>
  <c r="AV59" i="3"/>
  <c r="AS55" i="3"/>
  <c r="AW55" i="3"/>
  <c r="AX55" i="3"/>
  <c r="AY55" i="3"/>
  <c r="AT55" i="3"/>
  <c r="AU55" i="3"/>
  <c r="AV55" i="3"/>
  <c r="AZ55" i="3"/>
  <c r="AS56" i="3"/>
  <c r="AW56" i="3"/>
  <c r="AU56" i="3"/>
  <c r="AZ56" i="3"/>
  <c r="AX56" i="3"/>
  <c r="AY56" i="3"/>
  <c r="AT56" i="3"/>
  <c r="AV56" i="3"/>
  <c r="AS57" i="3"/>
  <c r="AW57" i="3"/>
  <c r="AX57" i="3"/>
  <c r="AV57" i="3"/>
  <c r="AT57" i="3"/>
  <c r="AZ57" i="3"/>
  <c r="AU57" i="3"/>
  <c r="AY57" i="3"/>
  <c r="AS58" i="3"/>
  <c r="AW58" i="3"/>
  <c r="AU58" i="3"/>
  <c r="AZ58" i="3"/>
  <c r="AV58" i="3"/>
  <c r="AX58" i="3"/>
  <c r="AY58" i="3"/>
  <c r="AT58" i="3"/>
  <c r="AS54" i="3"/>
  <c r="AW54" i="3"/>
  <c r="AU54" i="3"/>
  <c r="AZ54" i="3"/>
  <c r="AY54" i="3"/>
  <c r="AT54" i="3"/>
  <c r="AV54" i="3"/>
  <c r="AX54" i="3"/>
  <c r="AV47" i="3"/>
  <c r="AZ47" i="3"/>
  <c r="AS47" i="3"/>
  <c r="AW47" i="3"/>
  <c r="AT47" i="3"/>
  <c r="AU47" i="3"/>
  <c r="AX47" i="3"/>
  <c r="AY47" i="3"/>
  <c r="AS30" i="3"/>
  <c r="AX30" i="3"/>
  <c r="AO59" i="3"/>
  <c r="AR59" i="3"/>
  <c r="AN59" i="3"/>
  <c r="AP59" i="3"/>
  <c r="AQ59" i="3"/>
  <c r="AO57" i="3"/>
  <c r="AN57" i="3"/>
  <c r="AP57" i="3"/>
  <c r="AQ57" i="3"/>
  <c r="AR57" i="3"/>
  <c r="E34" i="3"/>
  <c r="AZ34" i="3" s="1"/>
  <c r="AQ58" i="3"/>
  <c r="AN58" i="3"/>
  <c r="AO58" i="3"/>
  <c r="AP58" i="3"/>
  <c r="AR58" i="3"/>
  <c r="AQ54" i="3"/>
  <c r="AP54" i="3"/>
  <c r="AR54" i="3"/>
  <c r="AN54" i="3"/>
  <c r="AO54" i="3"/>
  <c r="AO47" i="3"/>
  <c r="AP47" i="3"/>
  <c r="AQ47" i="3"/>
  <c r="AR47" i="3"/>
  <c r="AN47" i="3"/>
  <c r="D38" i="3"/>
  <c r="AO30" i="3"/>
  <c r="D22" i="3"/>
  <c r="F22" i="3" s="1"/>
  <c r="AO55" i="3"/>
  <c r="AP55" i="3"/>
  <c r="AQ55" i="3"/>
  <c r="AR55" i="3"/>
  <c r="AN55" i="3"/>
  <c r="AQ56" i="3"/>
  <c r="AO56" i="3"/>
  <c r="AP56" i="3"/>
  <c r="AR56" i="3"/>
  <c r="AN56" i="3"/>
  <c r="D31" i="3"/>
  <c r="D29" i="3"/>
  <c r="E39" i="3"/>
  <c r="AZ39" i="3" s="1"/>
  <c r="E27" i="3"/>
  <c r="AW27" i="3" s="1"/>
  <c r="E49" i="3"/>
  <c r="AT49" i="3" s="1"/>
  <c r="E56" i="3"/>
  <c r="G5" i="19"/>
  <c r="S19" i="1"/>
  <c r="S1" i="1" s="1"/>
  <c r="D6" i="20"/>
  <c r="B8" i="18"/>
  <c r="AR20" i="2"/>
  <c r="AR22" i="2"/>
  <c r="D36" i="3"/>
  <c r="D30" i="3"/>
  <c r="U30" i="3" s="1"/>
  <c r="D20" i="3"/>
  <c r="E43" i="3"/>
  <c r="P43" i="3" s="1"/>
  <c r="E37" i="3"/>
  <c r="AW37" i="3" s="1"/>
  <c r="E55" i="3"/>
  <c r="E26" i="3"/>
  <c r="AV26" i="3" s="1"/>
  <c r="E24" i="3"/>
  <c r="AN24" i="3" s="1"/>
  <c r="E29" i="3"/>
  <c r="AX29" i="3" s="1"/>
  <c r="D28" i="3"/>
  <c r="F28" i="3" s="1"/>
  <c r="E20" i="3"/>
  <c r="AT20" i="3" s="1"/>
  <c r="D44" i="3"/>
  <c r="E42" i="3"/>
  <c r="AZ42" i="3" s="1"/>
  <c r="E38" i="3"/>
  <c r="AZ38" i="3" s="1"/>
  <c r="E36" i="3"/>
  <c r="AZ36" i="3" s="1"/>
  <c r="D35" i="3"/>
  <c r="J35" i="3" s="1"/>
  <c r="D33" i="3"/>
  <c r="E21" i="3"/>
  <c r="AW21" i="3" s="1"/>
  <c r="E40" i="3"/>
  <c r="AP40" i="3" s="1"/>
  <c r="E59" i="3"/>
  <c r="E54" i="3"/>
  <c r="E50" i="3"/>
  <c r="P50" i="3" s="1"/>
  <c r="E46" i="3"/>
  <c r="AV46" i="3" s="1"/>
  <c r="E48" i="3"/>
  <c r="AT48" i="3" s="1"/>
  <c r="D39" i="3"/>
  <c r="D37" i="3"/>
  <c r="J37" i="3" s="1"/>
  <c r="E35" i="3"/>
  <c r="AP35" i="3" s="1"/>
  <c r="E28" i="3"/>
  <c r="AZ28" i="3" s="1"/>
  <c r="D25" i="3"/>
  <c r="E41" i="3"/>
  <c r="AP41" i="3" s="1"/>
  <c r="E25" i="3"/>
  <c r="AW25" i="3" s="1"/>
  <c r="E23" i="3"/>
  <c r="P23" i="3" s="1"/>
  <c r="D42" i="3"/>
  <c r="D40" i="3"/>
  <c r="E32" i="3"/>
  <c r="AZ32" i="3" s="1"/>
  <c r="D26" i="3"/>
  <c r="F26" i="3" s="1"/>
  <c r="D24" i="3"/>
  <c r="F24" i="3" s="1"/>
  <c r="E53" i="3"/>
  <c r="U53" i="3" s="1"/>
  <c r="E45" i="3"/>
  <c r="AW45" i="3" s="1"/>
  <c r="D41" i="3"/>
  <c r="E33" i="3"/>
  <c r="E31" i="3"/>
  <c r="AP31" i="3" s="1"/>
  <c r="E51" i="3"/>
  <c r="G51" i="3" s="1"/>
  <c r="E58" i="3"/>
  <c r="AR33" i="2"/>
  <c r="AR31" i="2"/>
  <c r="AR29" i="2"/>
  <c r="AR58" i="2"/>
  <c r="AR54" i="2"/>
  <c r="AR50" i="2"/>
  <c r="AR46" i="2"/>
  <c r="AR43" i="2"/>
  <c r="AR38" i="2"/>
  <c r="AR36" i="2"/>
  <c r="AR25" i="2"/>
  <c r="AR59" i="2"/>
  <c r="AR55" i="2"/>
  <c r="AR51" i="2"/>
  <c r="AR48" i="2"/>
  <c r="AR47" i="2"/>
  <c r="AR44" i="2"/>
  <c r="AR41" i="2"/>
  <c r="AR27" i="2"/>
  <c r="AR45" i="2"/>
  <c r="AR34" i="2"/>
  <c r="AR23" i="2"/>
  <c r="AR57" i="2"/>
  <c r="AR53" i="2"/>
  <c r="AR49" i="2"/>
  <c r="AR35" i="2"/>
  <c r="AR32" i="2"/>
  <c r="AR30" i="2"/>
  <c r="AR24" i="2"/>
  <c r="AR21" i="2"/>
  <c r="E22" i="3"/>
  <c r="AR22" i="3" s="1"/>
  <c r="D21" i="3"/>
  <c r="U21" i="3" s="1"/>
  <c r="A19" i="3"/>
  <c r="E57" i="3"/>
  <c r="D34" i="3"/>
  <c r="D32" i="3"/>
  <c r="P32" i="3" s="1"/>
  <c r="AR56" i="2"/>
  <c r="AR52" i="2"/>
  <c r="AR42" i="2"/>
  <c r="AR40" i="2"/>
  <c r="AR37" i="2"/>
  <c r="AR28" i="2"/>
  <c r="E52" i="3"/>
  <c r="AU52" i="3" s="1"/>
  <c r="AR39" i="2"/>
  <c r="P20" i="3" l="1"/>
  <c r="AP51" i="3"/>
  <c r="P29" i="3"/>
  <c r="AR51" i="3"/>
  <c r="U25" i="3"/>
  <c r="AR44" i="3"/>
  <c r="AG47" i="3"/>
  <c r="AH47" i="3" s="1"/>
  <c r="H31" i="27" s="1"/>
  <c r="I31" i="27" s="1"/>
  <c r="AG52" i="3"/>
  <c r="AH52" i="3" s="1"/>
  <c r="H36" i="27" s="1"/>
  <c r="I36" i="27" s="1"/>
  <c r="AO52" i="3"/>
  <c r="AT52" i="3"/>
  <c r="AZ52" i="3"/>
  <c r="T52" i="3"/>
  <c r="O52" i="3"/>
  <c r="K52" i="3"/>
  <c r="V52" i="3"/>
  <c r="Q52" i="3"/>
  <c r="L52" i="3"/>
  <c r="G52" i="3"/>
  <c r="P52" i="3"/>
  <c r="AR52" i="3"/>
  <c r="AX52" i="3"/>
  <c r="AW52" i="3"/>
  <c r="W52" i="3"/>
  <c r="R52" i="3"/>
  <c r="M52" i="3"/>
  <c r="I52" i="3"/>
  <c r="S52" i="3"/>
  <c r="J52" i="3"/>
  <c r="H52" i="3"/>
  <c r="U52" i="3"/>
  <c r="AG49" i="3"/>
  <c r="AH49" i="3" s="1"/>
  <c r="H33" i="27" s="1"/>
  <c r="I33" i="27" s="1"/>
  <c r="S49" i="3"/>
  <c r="J49" i="3"/>
  <c r="Q49" i="3"/>
  <c r="H49" i="3"/>
  <c r="W49" i="3"/>
  <c r="R49" i="3"/>
  <c r="M49" i="3"/>
  <c r="I49" i="3"/>
  <c r="U49" i="3"/>
  <c r="V49" i="3"/>
  <c r="L49" i="3"/>
  <c r="T49" i="3"/>
  <c r="O49" i="3"/>
  <c r="K49" i="3"/>
  <c r="G49" i="3"/>
  <c r="P49" i="3"/>
  <c r="P31" i="3"/>
  <c r="AG43" i="3"/>
  <c r="AH43" i="3" s="1"/>
  <c r="H27" i="27" s="1"/>
  <c r="I27" i="27" s="1"/>
  <c r="V43" i="3"/>
  <c r="L43" i="3"/>
  <c r="T43" i="3"/>
  <c r="O43" i="3"/>
  <c r="K43" i="3"/>
  <c r="G43" i="3"/>
  <c r="Q43" i="3"/>
  <c r="H43" i="3"/>
  <c r="S43" i="3"/>
  <c r="J43" i="3"/>
  <c r="U43" i="3"/>
  <c r="W43" i="3"/>
  <c r="R43" i="3"/>
  <c r="M43" i="3"/>
  <c r="I43" i="3"/>
  <c r="AG48" i="3"/>
  <c r="AH48" i="3" s="1"/>
  <c r="H32" i="27" s="1"/>
  <c r="I32" i="27" s="1"/>
  <c r="AO48" i="3"/>
  <c r="AZ48" i="3"/>
  <c r="AV48" i="3"/>
  <c r="R48" i="3"/>
  <c r="I48" i="3"/>
  <c r="T48" i="3"/>
  <c r="K48" i="3"/>
  <c r="V48" i="3"/>
  <c r="Q48" i="3"/>
  <c r="L48" i="3"/>
  <c r="H48" i="3"/>
  <c r="U48" i="3"/>
  <c r="AR48" i="3"/>
  <c r="AX48" i="3"/>
  <c r="AW48" i="3"/>
  <c r="W48" i="3"/>
  <c r="M48" i="3"/>
  <c r="O48" i="3"/>
  <c r="G48" i="3"/>
  <c r="S48" i="3"/>
  <c r="J48" i="3"/>
  <c r="P48" i="3"/>
  <c r="AG27" i="3"/>
  <c r="AH27" i="3" s="1"/>
  <c r="V27" i="3"/>
  <c r="Q27" i="3"/>
  <c r="M27" i="3"/>
  <c r="I27" i="3"/>
  <c r="T27" i="3"/>
  <c r="J27" i="3"/>
  <c r="S27" i="3"/>
  <c r="O27" i="3"/>
  <c r="K27" i="3"/>
  <c r="G27" i="3"/>
  <c r="W27" i="3"/>
  <c r="R27" i="3"/>
  <c r="L27" i="3"/>
  <c r="H27" i="3"/>
  <c r="U27" i="3"/>
  <c r="P27" i="3"/>
  <c r="AG51" i="3"/>
  <c r="AH51" i="3" s="1"/>
  <c r="H35" i="27" s="1"/>
  <c r="I35" i="27" s="1"/>
  <c r="AQ51" i="3"/>
  <c r="AN51" i="3"/>
  <c r="AO51" i="3"/>
  <c r="AZ51" i="3"/>
  <c r="AU51" i="3"/>
  <c r="AT51" i="3"/>
  <c r="AW51" i="3"/>
  <c r="Q51" i="3"/>
  <c r="H51" i="3"/>
  <c r="S51" i="3"/>
  <c r="J51" i="3"/>
  <c r="U51" i="3"/>
  <c r="W51" i="3"/>
  <c r="R51" i="3"/>
  <c r="M51" i="3"/>
  <c r="I51" i="3"/>
  <c r="P51" i="3"/>
  <c r="AV51" i="3"/>
  <c r="AY51" i="3"/>
  <c r="AX51" i="3"/>
  <c r="AS51" i="3"/>
  <c r="V51" i="3"/>
  <c r="L51" i="3"/>
  <c r="T51" i="3"/>
  <c r="O51" i="3"/>
  <c r="K51" i="3"/>
  <c r="AG45" i="3"/>
  <c r="AH45" i="3" s="1"/>
  <c r="H29" i="27" s="1"/>
  <c r="I29" i="27" s="1"/>
  <c r="V45" i="3"/>
  <c r="L45" i="3"/>
  <c r="T45" i="3"/>
  <c r="O45" i="3"/>
  <c r="K45" i="3"/>
  <c r="G45" i="3"/>
  <c r="P45" i="3"/>
  <c r="S45" i="3"/>
  <c r="J45" i="3"/>
  <c r="Q45" i="3"/>
  <c r="H45" i="3"/>
  <c r="W45" i="3"/>
  <c r="R45" i="3"/>
  <c r="M45" i="3"/>
  <c r="I45" i="3"/>
  <c r="U45" i="3"/>
  <c r="AP32" i="3"/>
  <c r="AR32" i="3"/>
  <c r="AQ32" i="3"/>
  <c r="AX32" i="3"/>
  <c r="AT32" i="3"/>
  <c r="AS32" i="3"/>
  <c r="AV32" i="3"/>
  <c r="AO32" i="3"/>
  <c r="AN32" i="3"/>
  <c r="AY32" i="3"/>
  <c r="AU32" i="3"/>
  <c r="AW32" i="3"/>
  <c r="AV40" i="3"/>
  <c r="AR39" i="3"/>
  <c r="AP39" i="3"/>
  <c r="AX39" i="3"/>
  <c r="AT39" i="3"/>
  <c r="AS39" i="3"/>
  <c r="AV39" i="3"/>
  <c r="AN39" i="3"/>
  <c r="AQ39" i="3"/>
  <c r="AO39" i="3"/>
  <c r="AY39" i="3"/>
  <c r="AU39" i="3"/>
  <c r="AW39" i="3"/>
  <c r="AG46" i="3"/>
  <c r="AH46" i="3" s="1"/>
  <c r="H30" i="27" s="1"/>
  <c r="I30" i="27" s="1"/>
  <c r="AO46" i="3"/>
  <c r="AQ46" i="3"/>
  <c r="AY46" i="3"/>
  <c r="AW46" i="3"/>
  <c r="T46" i="3"/>
  <c r="K46" i="3"/>
  <c r="W46" i="3"/>
  <c r="M46" i="3"/>
  <c r="V46" i="3"/>
  <c r="Q46" i="3"/>
  <c r="L46" i="3"/>
  <c r="H46" i="3"/>
  <c r="U46" i="3"/>
  <c r="AR46" i="3"/>
  <c r="AU46" i="3"/>
  <c r="AZ46" i="3"/>
  <c r="O46" i="3"/>
  <c r="G46" i="3"/>
  <c r="R46" i="3"/>
  <c r="I46" i="3"/>
  <c r="S46" i="3"/>
  <c r="J46" i="3"/>
  <c r="P46" i="3"/>
  <c r="AG23" i="3"/>
  <c r="AH23" i="3" s="1"/>
  <c r="H7" i="27" s="1"/>
  <c r="I7" i="27" s="1"/>
  <c r="V23" i="3"/>
  <c r="Q23" i="3"/>
  <c r="M23" i="3"/>
  <c r="I23" i="3"/>
  <c r="T23" i="3"/>
  <c r="J23" i="3"/>
  <c r="S23" i="3"/>
  <c r="O23" i="3"/>
  <c r="K23" i="3"/>
  <c r="G23" i="3"/>
  <c r="W23" i="3"/>
  <c r="R23" i="3"/>
  <c r="L23" i="3"/>
  <c r="H23" i="3"/>
  <c r="U23" i="3"/>
  <c r="AE47" i="3"/>
  <c r="AF47" i="3" s="1"/>
  <c r="F31" i="27" s="1"/>
  <c r="G31" i="27" s="1"/>
  <c r="AC47" i="3"/>
  <c r="E31" i="27" s="1"/>
  <c r="AG53" i="3"/>
  <c r="AH53" i="3" s="1"/>
  <c r="H37" i="27" s="1"/>
  <c r="I37" i="27" s="1"/>
  <c r="AP53" i="3"/>
  <c r="AR53" i="3"/>
  <c r="AO53" i="3"/>
  <c r="AV53" i="3"/>
  <c r="AZ53" i="3"/>
  <c r="AT53" i="3"/>
  <c r="AW53" i="3"/>
  <c r="V53" i="3"/>
  <c r="Q53" i="3"/>
  <c r="L53" i="3"/>
  <c r="H53" i="3"/>
  <c r="T53" i="3"/>
  <c r="O53" i="3"/>
  <c r="K53" i="3"/>
  <c r="G53" i="3"/>
  <c r="P53" i="3"/>
  <c r="AN53" i="3"/>
  <c r="AQ53" i="3"/>
  <c r="AU53" i="3"/>
  <c r="AY53" i="3"/>
  <c r="AX53" i="3"/>
  <c r="AS53" i="3"/>
  <c r="S53" i="3"/>
  <c r="J53" i="3"/>
  <c r="W53" i="3"/>
  <c r="R53" i="3"/>
  <c r="M53" i="3"/>
  <c r="I53" i="3"/>
  <c r="AG50" i="3"/>
  <c r="AH50" i="3" s="1"/>
  <c r="H34" i="27" s="1"/>
  <c r="I34" i="27" s="1"/>
  <c r="AP50" i="3"/>
  <c r="AY50" i="3"/>
  <c r="AZ50" i="3"/>
  <c r="T50" i="3"/>
  <c r="K50" i="3"/>
  <c r="W50" i="3"/>
  <c r="M50" i="3"/>
  <c r="V50" i="3"/>
  <c r="Q50" i="3"/>
  <c r="L50" i="3"/>
  <c r="H50" i="3"/>
  <c r="U50" i="3"/>
  <c r="AN50" i="3"/>
  <c r="AT50" i="3"/>
  <c r="AW50" i="3"/>
  <c r="O50" i="3"/>
  <c r="G50" i="3"/>
  <c r="R50" i="3"/>
  <c r="I50" i="3"/>
  <c r="S50" i="3"/>
  <c r="J50" i="3"/>
  <c r="AR24" i="3"/>
  <c r="AV24" i="3"/>
  <c r="AT24" i="3"/>
  <c r="P34" i="3"/>
  <c r="G34" i="3"/>
  <c r="K34" i="3"/>
  <c r="O34" i="3"/>
  <c r="T34" i="3"/>
  <c r="AA34" i="3"/>
  <c r="L34" i="3"/>
  <c r="V34" i="3"/>
  <c r="J34" i="3"/>
  <c r="F34" i="3"/>
  <c r="Y34" i="3"/>
  <c r="U42" i="3"/>
  <c r="H42" i="3"/>
  <c r="L42" i="3"/>
  <c r="Q42" i="3"/>
  <c r="V42" i="3"/>
  <c r="AB42" i="3"/>
  <c r="M42" i="3"/>
  <c r="W42" i="3"/>
  <c r="K42" i="3"/>
  <c r="T42" i="3"/>
  <c r="P42" i="3"/>
  <c r="F42" i="3"/>
  <c r="J42" i="3"/>
  <c r="N42" i="3"/>
  <c r="S42" i="3"/>
  <c r="Y42" i="3"/>
  <c r="I42" i="3"/>
  <c r="R42" i="3"/>
  <c r="G42" i="3"/>
  <c r="O42" i="3"/>
  <c r="AA42" i="3"/>
  <c r="G39" i="3"/>
  <c r="K39" i="3"/>
  <c r="O39" i="3"/>
  <c r="T39" i="3"/>
  <c r="AA39" i="3"/>
  <c r="J39" i="3"/>
  <c r="S39" i="3"/>
  <c r="U39" i="3"/>
  <c r="L39" i="3"/>
  <c r="V39" i="3"/>
  <c r="P39" i="3"/>
  <c r="I39" i="3"/>
  <c r="M39" i="3"/>
  <c r="R39" i="3"/>
  <c r="W39" i="3"/>
  <c r="F39" i="3"/>
  <c r="N39" i="3"/>
  <c r="Y39" i="3"/>
  <c r="H39" i="3"/>
  <c r="Q39" i="3"/>
  <c r="AB39" i="3"/>
  <c r="P33" i="3"/>
  <c r="H33" i="3"/>
  <c r="L33" i="3"/>
  <c r="Q33" i="3"/>
  <c r="P36" i="3"/>
  <c r="G36" i="3"/>
  <c r="K36" i="3"/>
  <c r="O36" i="3"/>
  <c r="T36" i="3"/>
  <c r="AA36" i="3"/>
  <c r="J36" i="3"/>
  <c r="S36" i="3"/>
  <c r="L36" i="3"/>
  <c r="H36" i="3"/>
  <c r="AB36" i="3"/>
  <c r="P22" i="3"/>
  <c r="P24" i="3"/>
  <c r="P26" i="3"/>
  <c r="O31" i="3"/>
  <c r="U31" i="3"/>
  <c r="K31" i="3"/>
  <c r="R31" i="3"/>
  <c r="I31" i="3"/>
  <c r="Y31" i="3"/>
  <c r="S31" i="3"/>
  <c r="N31" i="3"/>
  <c r="J31" i="3"/>
  <c r="F31" i="3"/>
  <c r="L32" i="3"/>
  <c r="Q32" i="3"/>
  <c r="Y32" i="3"/>
  <c r="N32" i="3"/>
  <c r="F32" i="3"/>
  <c r="W32" i="3"/>
  <c r="R32" i="3"/>
  <c r="M32" i="3"/>
  <c r="I32" i="3"/>
  <c r="U32" i="3"/>
  <c r="I33" i="3"/>
  <c r="M33" i="3"/>
  <c r="T33" i="3"/>
  <c r="K33" i="3"/>
  <c r="U33" i="3"/>
  <c r="Y33" i="3"/>
  <c r="S33" i="3"/>
  <c r="J33" i="3"/>
  <c r="N34" i="3"/>
  <c r="AB34" i="3"/>
  <c r="H34" i="3"/>
  <c r="R34" i="3"/>
  <c r="I34" i="3"/>
  <c r="K35" i="3"/>
  <c r="U35" i="3"/>
  <c r="I35" i="3"/>
  <c r="S35" i="3"/>
  <c r="Q36" i="3"/>
  <c r="Y36" i="3"/>
  <c r="F36" i="3"/>
  <c r="R36" i="3"/>
  <c r="I36" i="3"/>
  <c r="M37" i="3"/>
  <c r="T37" i="3"/>
  <c r="U37" i="3"/>
  <c r="S37" i="3"/>
  <c r="U41" i="3"/>
  <c r="I41" i="3"/>
  <c r="M41" i="3"/>
  <c r="R41" i="3"/>
  <c r="W41" i="3"/>
  <c r="H41" i="3"/>
  <c r="Q41" i="3"/>
  <c r="AB41" i="3"/>
  <c r="J41" i="3"/>
  <c r="S41" i="3"/>
  <c r="P41" i="3"/>
  <c r="G41" i="3"/>
  <c r="K41" i="3"/>
  <c r="O41" i="3"/>
  <c r="T41" i="3"/>
  <c r="AA41" i="3"/>
  <c r="L41" i="3"/>
  <c r="V41" i="3"/>
  <c r="F41" i="3"/>
  <c r="N41" i="3"/>
  <c r="Y41" i="3"/>
  <c r="U40" i="3"/>
  <c r="H40" i="3"/>
  <c r="L40" i="3"/>
  <c r="Q40" i="3"/>
  <c r="V40" i="3"/>
  <c r="AB40" i="3"/>
  <c r="K40" i="3"/>
  <c r="T40" i="3"/>
  <c r="I40" i="3"/>
  <c r="R40" i="3"/>
  <c r="P40" i="3"/>
  <c r="F40" i="3"/>
  <c r="J40" i="3"/>
  <c r="N40" i="3"/>
  <c r="S40" i="3"/>
  <c r="Y40" i="3"/>
  <c r="G40" i="3"/>
  <c r="O40" i="3"/>
  <c r="AA40" i="3"/>
  <c r="M40" i="3"/>
  <c r="W40" i="3"/>
  <c r="P37" i="3"/>
  <c r="H37" i="3"/>
  <c r="L37" i="3"/>
  <c r="Q37" i="3"/>
  <c r="V37" i="3"/>
  <c r="AB37" i="3"/>
  <c r="G37" i="3"/>
  <c r="O37" i="3"/>
  <c r="AA37" i="3"/>
  <c r="R37" i="3"/>
  <c r="W37" i="3"/>
  <c r="P35" i="3"/>
  <c r="H35" i="3"/>
  <c r="L35" i="3"/>
  <c r="Q35" i="3"/>
  <c r="V35" i="3"/>
  <c r="AB35" i="3"/>
  <c r="M35" i="3"/>
  <c r="W35" i="3"/>
  <c r="G35" i="3"/>
  <c r="AA35" i="3"/>
  <c r="T35" i="3"/>
  <c r="U44" i="3"/>
  <c r="H44" i="3"/>
  <c r="L44" i="3"/>
  <c r="Q44" i="3"/>
  <c r="V44" i="3"/>
  <c r="AB44" i="3"/>
  <c r="K44" i="3"/>
  <c r="T44" i="3"/>
  <c r="I44" i="3"/>
  <c r="R44" i="3"/>
  <c r="P44" i="3"/>
  <c r="F44" i="3"/>
  <c r="J44" i="3"/>
  <c r="N44" i="3"/>
  <c r="S44" i="3"/>
  <c r="Y44" i="3"/>
  <c r="G44" i="3"/>
  <c r="O44" i="3"/>
  <c r="AA44" i="3"/>
  <c r="M44" i="3"/>
  <c r="W44" i="3"/>
  <c r="U38" i="3"/>
  <c r="I38" i="3"/>
  <c r="M38" i="3"/>
  <c r="R38" i="3"/>
  <c r="H38" i="3"/>
  <c r="Q38" i="3"/>
  <c r="Y38" i="3"/>
  <c r="F38" i="3"/>
  <c r="W38" i="3"/>
  <c r="S38" i="3"/>
  <c r="P38" i="3"/>
  <c r="G38" i="3"/>
  <c r="K38" i="3"/>
  <c r="O38" i="3"/>
  <c r="T38" i="3"/>
  <c r="L38" i="3"/>
  <c r="V38" i="3"/>
  <c r="AB38" i="3"/>
  <c r="N38" i="3"/>
  <c r="J38" i="3"/>
  <c r="AA38" i="3"/>
  <c r="P21" i="3"/>
  <c r="P25" i="3"/>
  <c r="P28" i="3"/>
  <c r="P30" i="3"/>
  <c r="AA31" i="3"/>
  <c r="G31" i="3"/>
  <c r="T31" i="3"/>
  <c r="W31" i="3"/>
  <c r="M31" i="3"/>
  <c r="AB31" i="3"/>
  <c r="V31" i="3"/>
  <c r="Q31" i="3"/>
  <c r="L31" i="3"/>
  <c r="H31" i="3"/>
  <c r="V32" i="3"/>
  <c r="AB32" i="3"/>
  <c r="H32" i="3"/>
  <c r="S32" i="3"/>
  <c r="J32" i="3"/>
  <c r="AA32" i="3"/>
  <c r="AG32" i="3" s="1"/>
  <c r="AH32" i="3" s="1"/>
  <c r="H16" i="27" s="1"/>
  <c r="I16" i="27" s="1"/>
  <c r="T32" i="3"/>
  <c r="O32" i="3"/>
  <c r="K32" i="3"/>
  <c r="G32" i="3"/>
  <c r="R33" i="3"/>
  <c r="W33" i="3"/>
  <c r="AA33" i="3"/>
  <c r="O33" i="3"/>
  <c r="G33" i="3"/>
  <c r="AB33" i="3"/>
  <c r="V33" i="3"/>
  <c r="N33" i="3"/>
  <c r="F33" i="3"/>
  <c r="S34" i="3"/>
  <c r="Q34" i="3"/>
  <c r="W34" i="3"/>
  <c r="M34" i="3"/>
  <c r="U34" i="3"/>
  <c r="O35" i="3"/>
  <c r="R35" i="3"/>
  <c r="Y35" i="3"/>
  <c r="N35" i="3"/>
  <c r="F35" i="3"/>
  <c r="V36" i="3"/>
  <c r="N36" i="3"/>
  <c r="W36" i="3"/>
  <c r="M36" i="3"/>
  <c r="U36" i="3"/>
  <c r="I37" i="3"/>
  <c r="K37" i="3"/>
  <c r="Y37" i="3"/>
  <c r="N37" i="3"/>
  <c r="F37" i="3"/>
  <c r="Y21" i="3"/>
  <c r="S21" i="3"/>
  <c r="O21" i="3"/>
  <c r="K21" i="3"/>
  <c r="G21" i="3"/>
  <c r="W21" i="3"/>
  <c r="R21" i="3"/>
  <c r="N21" i="3"/>
  <c r="J21" i="3"/>
  <c r="F21" i="3"/>
  <c r="Y22" i="3"/>
  <c r="S22" i="3"/>
  <c r="O22" i="3"/>
  <c r="K22" i="3"/>
  <c r="G22" i="3"/>
  <c r="AA22" i="3"/>
  <c r="T22" i="3"/>
  <c r="L22" i="3"/>
  <c r="H22" i="3"/>
  <c r="Y24" i="3"/>
  <c r="S24" i="3"/>
  <c r="O24" i="3"/>
  <c r="K24" i="3"/>
  <c r="G24" i="3"/>
  <c r="AA24" i="3"/>
  <c r="T24" i="3"/>
  <c r="L24" i="3"/>
  <c r="H24" i="3"/>
  <c r="Y25" i="3"/>
  <c r="S25" i="3"/>
  <c r="O25" i="3"/>
  <c r="K25" i="3"/>
  <c r="G25" i="3"/>
  <c r="W25" i="3"/>
  <c r="R25" i="3"/>
  <c r="N25" i="3"/>
  <c r="J25" i="3"/>
  <c r="F25" i="3"/>
  <c r="Y26" i="3"/>
  <c r="S26" i="3"/>
  <c r="O26" i="3"/>
  <c r="K26" i="3"/>
  <c r="G26" i="3"/>
  <c r="AA26" i="3"/>
  <c r="T26" i="3"/>
  <c r="L26" i="3"/>
  <c r="H26" i="3"/>
  <c r="Y28" i="3"/>
  <c r="S28" i="3"/>
  <c r="O28" i="3"/>
  <c r="K28" i="3"/>
  <c r="G28" i="3"/>
  <c r="AA28" i="3"/>
  <c r="T28" i="3"/>
  <c r="L28" i="3"/>
  <c r="H28" i="3"/>
  <c r="W30" i="3"/>
  <c r="R30" i="3"/>
  <c r="N30" i="3"/>
  <c r="J30" i="3"/>
  <c r="F30" i="3"/>
  <c r="Y30" i="3"/>
  <c r="S30" i="3"/>
  <c r="O30" i="3"/>
  <c r="K30" i="3"/>
  <c r="G30" i="3"/>
  <c r="AB21" i="3"/>
  <c r="V21" i="3"/>
  <c r="Q21" i="3"/>
  <c r="M21" i="3"/>
  <c r="I21" i="3"/>
  <c r="AA21" i="3"/>
  <c r="T21" i="3"/>
  <c r="L21" i="3"/>
  <c r="H21" i="3"/>
  <c r="AB22" i="3"/>
  <c r="V22" i="3"/>
  <c r="Q22" i="3"/>
  <c r="M22" i="3"/>
  <c r="I22" i="3"/>
  <c r="U22" i="3"/>
  <c r="W22" i="3"/>
  <c r="R22" i="3"/>
  <c r="N22" i="3"/>
  <c r="J22" i="3"/>
  <c r="AB24" i="3"/>
  <c r="V24" i="3"/>
  <c r="Q24" i="3"/>
  <c r="M24" i="3"/>
  <c r="I24" i="3"/>
  <c r="U24" i="3"/>
  <c r="W24" i="3"/>
  <c r="R24" i="3"/>
  <c r="N24" i="3"/>
  <c r="J24" i="3"/>
  <c r="AB25" i="3"/>
  <c r="V25" i="3"/>
  <c r="Q25" i="3"/>
  <c r="M25" i="3"/>
  <c r="I25" i="3"/>
  <c r="AA25" i="3"/>
  <c r="T25" i="3"/>
  <c r="L25" i="3"/>
  <c r="H25" i="3"/>
  <c r="AB26" i="3"/>
  <c r="V26" i="3"/>
  <c r="Q26" i="3"/>
  <c r="M26" i="3"/>
  <c r="I26" i="3"/>
  <c r="U26" i="3"/>
  <c r="W26" i="3"/>
  <c r="R26" i="3"/>
  <c r="N26" i="3"/>
  <c r="J26" i="3"/>
  <c r="AB28" i="3"/>
  <c r="V28" i="3"/>
  <c r="Q28" i="3"/>
  <c r="M28" i="3"/>
  <c r="I28" i="3"/>
  <c r="U28" i="3"/>
  <c r="W28" i="3"/>
  <c r="R28" i="3"/>
  <c r="N28" i="3"/>
  <c r="J28" i="3"/>
  <c r="AA30" i="3"/>
  <c r="T30" i="3"/>
  <c r="L30" i="3"/>
  <c r="H30" i="3"/>
  <c r="AB30" i="3"/>
  <c r="V30" i="3"/>
  <c r="Q30" i="3"/>
  <c r="M30" i="3"/>
  <c r="I30" i="3"/>
  <c r="U29" i="3"/>
  <c r="AS29" i="3"/>
  <c r="AR29" i="3"/>
  <c r="W29" i="3"/>
  <c r="R29" i="3"/>
  <c r="N29" i="3"/>
  <c r="J29" i="3"/>
  <c r="F29" i="3"/>
  <c r="Y29" i="3"/>
  <c r="S29" i="3"/>
  <c r="O29" i="3"/>
  <c r="K29" i="3"/>
  <c r="G29" i="3"/>
  <c r="AA29" i="3"/>
  <c r="T29" i="3"/>
  <c r="L29" i="3"/>
  <c r="H29" i="3"/>
  <c r="AB29" i="3"/>
  <c r="V29" i="3"/>
  <c r="Q29" i="3"/>
  <c r="M29" i="3"/>
  <c r="I29" i="3"/>
  <c r="T20" i="3"/>
  <c r="F20" i="3"/>
  <c r="N20" i="3"/>
  <c r="R20" i="3"/>
  <c r="G20" i="3"/>
  <c r="K20" i="3"/>
  <c r="I20" i="3"/>
  <c r="U20" i="3"/>
  <c r="S20" i="3"/>
  <c r="J20" i="3"/>
  <c r="O20" i="3"/>
  <c r="H11" i="27"/>
  <c r="I11" i="27" s="1"/>
  <c r="AR30" i="3"/>
  <c r="AP36" i="3"/>
  <c r="AU30" i="3"/>
  <c r="AN30" i="3"/>
  <c r="AT30" i="3"/>
  <c r="AV30" i="3"/>
  <c r="AW44" i="3"/>
  <c r="AZ30" i="3"/>
  <c r="AY44" i="3"/>
  <c r="AX35" i="3"/>
  <c r="AP30" i="3"/>
  <c r="AQ30" i="3"/>
  <c r="AO42" i="3"/>
  <c r="AY30" i="3"/>
  <c r="AT36" i="3"/>
  <c r="W20" i="3"/>
  <c r="AP44" i="3"/>
  <c r="AQ44" i="3"/>
  <c r="AV36" i="3"/>
  <c r="AX44" i="3"/>
  <c r="AS44" i="3"/>
  <c r="V20" i="3"/>
  <c r="H20" i="3"/>
  <c r="AO44" i="3"/>
  <c r="AU44" i="3"/>
  <c r="AZ44" i="3"/>
  <c r="AN44" i="3"/>
  <c r="AV42" i="3"/>
  <c r="AT44" i="3"/>
  <c r="AS35" i="3"/>
  <c r="Q20" i="3"/>
  <c r="L20" i="3"/>
  <c r="AQ28" i="3"/>
  <c r="AX23" i="3"/>
  <c r="AS31" i="3"/>
  <c r="AX43" i="3"/>
  <c r="AR23" i="3"/>
  <c r="AW36" i="3"/>
  <c r="AT42" i="3"/>
  <c r="AT23" i="3"/>
  <c r="AZ31" i="3"/>
  <c r="AZ35" i="3"/>
  <c r="AS43" i="3"/>
  <c r="AN23" i="3"/>
  <c r="AR31" i="3"/>
  <c r="AO41" i="3"/>
  <c r="AV28" i="3"/>
  <c r="AS23" i="3"/>
  <c r="AX31" i="3"/>
  <c r="AX41" i="3"/>
  <c r="AO23" i="3"/>
  <c r="AN31" i="3"/>
  <c r="AQ34" i="3"/>
  <c r="AY36" i="3"/>
  <c r="AT40" i="3"/>
  <c r="AU20" i="3"/>
  <c r="AV23" i="3"/>
  <c r="AU31" i="3"/>
  <c r="AU35" i="3"/>
  <c r="AS41" i="3"/>
  <c r="Y20" i="3"/>
  <c r="M20" i="3"/>
  <c r="AB20" i="3"/>
  <c r="AA20" i="3"/>
  <c r="AT28" i="3"/>
  <c r="AX27" i="3"/>
  <c r="AU27" i="3"/>
  <c r="AS27" i="3"/>
  <c r="AZ27" i="3"/>
  <c r="AY26" i="3"/>
  <c r="AT26" i="3"/>
  <c r="AW26" i="3"/>
  <c r="AP23" i="3"/>
  <c r="AU23" i="3"/>
  <c r="AZ23" i="3"/>
  <c r="AQ23" i="3"/>
  <c r="AY23" i="3"/>
  <c r="AW23" i="3"/>
  <c r="AW22" i="3"/>
  <c r="AP22" i="3"/>
  <c r="AV22" i="3"/>
  <c r="AN22" i="3"/>
  <c r="AY22" i="3"/>
  <c r="AT22" i="3"/>
  <c r="AN52" i="3"/>
  <c r="AV52" i="3"/>
  <c r="AS52" i="3"/>
  <c r="AP52" i="3"/>
  <c r="AQ52" i="3"/>
  <c r="AY52" i="3"/>
  <c r="AR50" i="3"/>
  <c r="AQ50" i="3"/>
  <c r="AV50" i="3"/>
  <c r="AS50" i="3"/>
  <c r="AO50" i="3"/>
  <c r="AX50" i="3"/>
  <c r="AU50" i="3"/>
  <c r="AN49" i="3"/>
  <c r="AU49" i="3"/>
  <c r="AX49" i="3"/>
  <c r="AR49" i="3"/>
  <c r="AO49" i="3"/>
  <c r="AZ49" i="3"/>
  <c r="AW49" i="3"/>
  <c r="AQ49" i="3"/>
  <c r="AY49" i="3"/>
  <c r="AS49" i="3"/>
  <c r="AP49" i="3"/>
  <c r="AV49" i="3"/>
  <c r="AP48" i="3"/>
  <c r="AU48" i="3"/>
  <c r="AS48" i="3"/>
  <c r="AN48" i="3"/>
  <c r="AQ48" i="3"/>
  <c r="AY48" i="3"/>
  <c r="AP46" i="3"/>
  <c r="AX46" i="3"/>
  <c r="AS46" i="3"/>
  <c r="AN46" i="3"/>
  <c r="AT46" i="3"/>
  <c r="AR45" i="3"/>
  <c r="AT45" i="3"/>
  <c r="AV45" i="3"/>
  <c r="AQ45" i="3"/>
  <c r="AY45" i="3"/>
  <c r="AP45" i="3"/>
  <c r="AO45" i="3"/>
  <c r="AX45" i="3"/>
  <c r="AS45" i="3"/>
  <c r="AN45" i="3"/>
  <c r="AU45" i="3"/>
  <c r="AZ45" i="3"/>
  <c r="AV20" i="3"/>
  <c r="AP20" i="3"/>
  <c r="AW20" i="3"/>
  <c r="AY20" i="3"/>
  <c r="AT34" i="3"/>
  <c r="AV38" i="3"/>
  <c r="AX21" i="3"/>
  <c r="AX33" i="3"/>
  <c r="AS33" i="3"/>
  <c r="AS37" i="3"/>
  <c r="AR25" i="3"/>
  <c r="AP29" i="3"/>
  <c r="AP43" i="3"/>
  <c r="AQ24" i="3"/>
  <c r="AY24" i="3"/>
  <c r="AY28" i="3"/>
  <c r="AY34" i="3"/>
  <c r="AW34" i="3"/>
  <c r="AW38" i="3"/>
  <c r="AY40" i="3"/>
  <c r="AW40" i="3"/>
  <c r="AY42" i="3"/>
  <c r="AW42" i="3"/>
  <c r="AZ21" i="3"/>
  <c r="AZ25" i="3"/>
  <c r="AZ29" i="3"/>
  <c r="AZ33" i="3"/>
  <c r="AZ37" i="3"/>
  <c r="AZ41" i="3"/>
  <c r="AZ43" i="3"/>
  <c r="AO25" i="3"/>
  <c r="AO29" i="3"/>
  <c r="AQ41" i="3"/>
  <c r="AR43" i="3"/>
  <c r="AP28" i="3"/>
  <c r="AR36" i="3"/>
  <c r="AO40" i="3"/>
  <c r="AN20" i="3"/>
  <c r="AX22" i="3"/>
  <c r="AS22" i="3"/>
  <c r="AX24" i="3"/>
  <c r="AS24" i="3"/>
  <c r="AX26" i="3"/>
  <c r="AS26" i="3"/>
  <c r="AX28" i="3"/>
  <c r="AS28" i="3"/>
  <c r="AX34" i="3"/>
  <c r="AS34" i="3"/>
  <c r="AX36" i="3"/>
  <c r="AS36" i="3"/>
  <c r="AX38" i="3"/>
  <c r="AS38" i="3"/>
  <c r="AX40" i="3"/>
  <c r="AS40" i="3"/>
  <c r="AX42" i="3"/>
  <c r="AS42" i="3"/>
  <c r="AX20" i="3"/>
  <c r="AT21" i="3"/>
  <c r="AV21" i="3"/>
  <c r="AT25" i="3"/>
  <c r="AV25" i="3"/>
  <c r="AT27" i="3"/>
  <c r="AV27" i="3"/>
  <c r="AT29" i="3"/>
  <c r="AV29" i="3"/>
  <c r="AT31" i="3"/>
  <c r="AV31" i="3"/>
  <c r="AT33" i="3"/>
  <c r="AV33" i="3"/>
  <c r="AT35" i="3"/>
  <c r="AV35" i="3"/>
  <c r="AT37" i="3"/>
  <c r="AV37" i="3"/>
  <c r="AT41" i="3"/>
  <c r="AV41" i="3"/>
  <c r="AT43" i="3"/>
  <c r="AV43" i="3"/>
  <c r="AR37" i="3"/>
  <c r="AV34" i="3"/>
  <c r="AT38" i="3"/>
  <c r="AS21" i="3"/>
  <c r="AX25" i="3"/>
  <c r="AS25" i="3"/>
  <c r="AX37" i="3"/>
  <c r="AR40" i="3"/>
  <c r="AN42" i="3"/>
  <c r="AW24" i="3"/>
  <c r="AW28" i="3"/>
  <c r="AY38" i="3"/>
  <c r="AU21" i="3"/>
  <c r="AU25" i="3"/>
  <c r="AU29" i="3"/>
  <c r="AU33" i="3"/>
  <c r="AU37" i="3"/>
  <c r="AU41" i="3"/>
  <c r="AU43" i="3"/>
  <c r="AR20" i="3"/>
  <c r="AP21" i="3"/>
  <c r="AO27" i="3"/>
  <c r="AO33" i="3"/>
  <c r="AN41" i="3"/>
  <c r="AO43" i="3"/>
  <c r="AP24" i="3"/>
  <c r="AR28" i="3"/>
  <c r="AO34" i="3"/>
  <c r="AQ36" i="3"/>
  <c r="AR42" i="3"/>
  <c r="AU22" i="3"/>
  <c r="AZ22" i="3"/>
  <c r="AU24" i="3"/>
  <c r="AZ24" i="3"/>
  <c r="AU26" i="3"/>
  <c r="AZ26" i="3"/>
  <c r="AU28" i="3"/>
  <c r="AU34" i="3"/>
  <c r="AU36" i="3"/>
  <c r="AU38" i="3"/>
  <c r="AU40" i="3"/>
  <c r="AZ40" i="3"/>
  <c r="AU42" i="3"/>
  <c r="AZ20" i="3"/>
  <c r="AS20" i="3"/>
  <c r="AY21" i="3"/>
  <c r="AY25" i="3"/>
  <c r="AY27" i="3"/>
  <c r="AY29" i="3"/>
  <c r="AW29" i="3"/>
  <c r="AY31" i="3"/>
  <c r="AW31" i="3"/>
  <c r="AY33" i="3"/>
  <c r="AW33" i="3"/>
  <c r="AY35" i="3"/>
  <c r="AW35" i="3"/>
  <c r="AY37" i="3"/>
  <c r="AY41" i="3"/>
  <c r="AW41" i="3"/>
  <c r="AY43" i="3"/>
  <c r="AW43" i="3"/>
  <c r="AN25" i="3"/>
  <c r="AQ25" i="3"/>
  <c r="AN21" i="3"/>
  <c r="AQ21" i="3"/>
  <c r="AN38" i="3"/>
  <c r="AQ38" i="3"/>
  <c r="AP38" i="3"/>
  <c r="AO38" i="3"/>
  <c r="AR38" i="3"/>
  <c r="AN27" i="3"/>
  <c r="AR27" i="3"/>
  <c r="AP27" i="3"/>
  <c r="AR21" i="3"/>
  <c r="AQ27" i="3"/>
  <c r="AN26" i="3"/>
  <c r="AP26" i="3"/>
  <c r="AR26" i="3"/>
  <c r="AO26" i="3"/>
  <c r="AQ33" i="3"/>
  <c r="AN33" i="3"/>
  <c r="AP33" i="3"/>
  <c r="AR35" i="3"/>
  <c r="AN35" i="3"/>
  <c r="AO35" i="3"/>
  <c r="AQ35" i="3"/>
  <c r="AQ37" i="3"/>
  <c r="AN37" i="3"/>
  <c r="AP37" i="3"/>
  <c r="AO21" i="3"/>
  <c r="AP25" i="3"/>
  <c r="AR33" i="3"/>
  <c r="AO37" i="3"/>
  <c r="AQ26" i="3"/>
  <c r="AR34" i="3"/>
  <c r="AQ29" i="3"/>
  <c r="AR41" i="3"/>
  <c r="AN43" i="3"/>
  <c r="AO22" i="3"/>
  <c r="AQ22" i="3"/>
  <c r="AO24" i="3"/>
  <c r="AO28" i="3"/>
  <c r="AP34" i="3"/>
  <c r="AN34" i="3"/>
  <c r="AO36" i="3"/>
  <c r="AN40" i="3"/>
  <c r="AQ40" i="3"/>
  <c r="AO20" i="3"/>
  <c r="AN29" i="3"/>
  <c r="AQ31" i="3"/>
  <c r="AO31" i="3"/>
  <c r="AQ43" i="3"/>
  <c r="AN28" i="3"/>
  <c r="AN36" i="3"/>
  <c r="AP42" i="3"/>
  <c r="AQ42" i="3"/>
  <c r="AQ20" i="3"/>
  <c r="AR19" i="2"/>
  <c r="AU1" i="2" s="1"/>
  <c r="A5" i="1" s="1"/>
  <c r="AF6" i="3"/>
  <c r="AI5" i="3"/>
  <c r="AF5" i="3"/>
  <c r="AF4" i="3"/>
  <c r="AG34" i="3" l="1"/>
  <c r="AH34" i="3" s="1"/>
  <c r="H18" i="27" s="1"/>
  <c r="I18" i="27" s="1"/>
  <c r="AG36" i="3"/>
  <c r="AH36" i="3" s="1"/>
  <c r="H20" i="27" s="1"/>
  <c r="I20" i="27" s="1"/>
  <c r="AG22" i="3"/>
  <c r="AH22" i="3" s="1"/>
  <c r="H6" i="27" s="1"/>
  <c r="I6" i="27" s="1"/>
  <c r="AG24" i="3"/>
  <c r="AH24" i="3" s="1"/>
  <c r="H8" i="27" s="1"/>
  <c r="I8" i="27" s="1"/>
  <c r="AI47" i="3"/>
  <c r="K31" i="27" s="1"/>
  <c r="AG41" i="3"/>
  <c r="AH41" i="3" s="1"/>
  <c r="H25" i="27" s="1"/>
  <c r="I25" i="27" s="1"/>
  <c r="AC41" i="3"/>
  <c r="E25" i="27" s="1"/>
  <c r="AE41" i="3"/>
  <c r="AF41" i="3" s="1"/>
  <c r="F25" i="27" s="1"/>
  <c r="G25" i="27" s="1"/>
  <c r="AE52" i="3"/>
  <c r="AF52" i="3" s="1"/>
  <c r="F36" i="27" s="1"/>
  <c r="G36" i="27" s="1"/>
  <c r="AC52" i="3"/>
  <c r="AC49" i="3"/>
  <c r="AE49" i="3"/>
  <c r="AF49" i="3" s="1"/>
  <c r="F33" i="27" s="1"/>
  <c r="G33" i="27" s="1"/>
  <c r="AG33" i="3"/>
  <c r="AH33" i="3" s="1"/>
  <c r="H17" i="27" s="1"/>
  <c r="I17" i="27" s="1"/>
  <c r="AE33" i="3"/>
  <c r="AF33" i="3" s="1"/>
  <c r="F17" i="27" s="1"/>
  <c r="G17" i="27" s="1"/>
  <c r="AC33" i="3"/>
  <c r="AG31" i="3"/>
  <c r="AH31" i="3" s="1"/>
  <c r="H15" i="27" s="1"/>
  <c r="I15" i="27" s="1"/>
  <c r="AE31" i="3"/>
  <c r="AF31" i="3" s="1"/>
  <c r="F15" i="27" s="1"/>
  <c r="G15" i="27" s="1"/>
  <c r="AC31" i="3"/>
  <c r="E15" i="27" s="1"/>
  <c r="AC43" i="3"/>
  <c r="AE43" i="3"/>
  <c r="AF43" i="3" s="1"/>
  <c r="F27" i="27" s="1"/>
  <c r="G27" i="27" s="1"/>
  <c r="AG44" i="3"/>
  <c r="AH44" i="3" s="1"/>
  <c r="H28" i="27" s="1"/>
  <c r="I28" i="27" s="1"/>
  <c r="AE44" i="3"/>
  <c r="AF44" i="3" s="1"/>
  <c r="F28" i="27" s="1"/>
  <c r="G28" i="27" s="1"/>
  <c r="AC44" i="3"/>
  <c r="E28" i="27" s="1"/>
  <c r="AC48" i="3"/>
  <c r="AE48" i="3"/>
  <c r="AF48" i="3" s="1"/>
  <c r="F32" i="27" s="1"/>
  <c r="G32" i="27" s="1"/>
  <c r="AG30" i="3"/>
  <c r="AH30" i="3" s="1"/>
  <c r="H14" i="27" s="1"/>
  <c r="I14" i="27" s="1"/>
  <c r="AE30" i="3"/>
  <c r="AF30" i="3" s="1"/>
  <c r="F14" i="27" s="1"/>
  <c r="G14" i="27" s="1"/>
  <c r="AC30" i="3"/>
  <c r="E14" i="27" s="1"/>
  <c r="AG28" i="3"/>
  <c r="AH28" i="3" s="1"/>
  <c r="H12" i="27" s="1"/>
  <c r="I12" i="27" s="1"/>
  <c r="AC28" i="3"/>
  <c r="AD28" i="3" s="1"/>
  <c r="AE28" i="3"/>
  <c r="AF28" i="3" s="1"/>
  <c r="F12" i="27" s="1"/>
  <c r="G12" i="27" s="1"/>
  <c r="AC27" i="3"/>
  <c r="E11" i="27" s="1"/>
  <c r="AE27" i="3"/>
  <c r="AF27" i="3" s="1"/>
  <c r="F11" i="27" s="1"/>
  <c r="G11" i="27" s="1"/>
  <c r="AE51" i="3"/>
  <c r="AF51" i="3" s="1"/>
  <c r="F35" i="27" s="1"/>
  <c r="G35" i="27" s="1"/>
  <c r="AC51" i="3"/>
  <c r="AG35" i="3"/>
  <c r="AH35" i="3" s="1"/>
  <c r="H19" i="27" s="1"/>
  <c r="I19" i="27" s="1"/>
  <c r="AE35" i="3"/>
  <c r="AF35" i="3" s="1"/>
  <c r="F19" i="27" s="1"/>
  <c r="G19" i="27" s="1"/>
  <c r="AC35" i="3"/>
  <c r="AE45" i="3"/>
  <c r="AF45" i="3" s="1"/>
  <c r="F29" i="27" s="1"/>
  <c r="G29" i="27" s="1"/>
  <c r="AC45" i="3"/>
  <c r="AG37" i="3"/>
  <c r="AH37" i="3" s="1"/>
  <c r="H21" i="27" s="1"/>
  <c r="I21" i="27" s="1"/>
  <c r="AE37" i="3"/>
  <c r="AF37" i="3" s="1"/>
  <c r="F21" i="27" s="1"/>
  <c r="G21" i="27" s="1"/>
  <c r="AC37" i="3"/>
  <c r="AC36" i="3"/>
  <c r="E20" i="27" s="1"/>
  <c r="AE36" i="3"/>
  <c r="AF36" i="3" s="1"/>
  <c r="F20" i="27" s="1"/>
  <c r="G20" i="27" s="1"/>
  <c r="AE34" i="3"/>
  <c r="AF34" i="3" s="1"/>
  <c r="F18" i="27" s="1"/>
  <c r="G18" i="27" s="1"/>
  <c r="AC34" i="3"/>
  <c r="AC32" i="3"/>
  <c r="AD32" i="3" s="1"/>
  <c r="AE32" i="3"/>
  <c r="AF32" i="3" s="1"/>
  <c r="F16" i="27" s="1"/>
  <c r="G16" i="27" s="1"/>
  <c r="AG38" i="3"/>
  <c r="AH38" i="3" s="1"/>
  <c r="H22" i="27" s="1"/>
  <c r="I22" i="27" s="1"/>
  <c r="AE38" i="3"/>
  <c r="AF38" i="3" s="1"/>
  <c r="F22" i="27" s="1"/>
  <c r="G22" i="27" s="1"/>
  <c r="AC38" i="3"/>
  <c r="E22" i="27" s="1"/>
  <c r="AG40" i="3"/>
  <c r="AH40" i="3" s="1"/>
  <c r="H24" i="27" s="1"/>
  <c r="I24" i="27" s="1"/>
  <c r="AC40" i="3"/>
  <c r="AI40" i="3" s="1"/>
  <c r="K24" i="27" s="1"/>
  <c r="AE40" i="3"/>
  <c r="AF40" i="3" s="1"/>
  <c r="F24" i="27" s="1"/>
  <c r="G24" i="27" s="1"/>
  <c r="E24" i="27"/>
  <c r="AG39" i="3"/>
  <c r="AH39" i="3" s="1"/>
  <c r="H23" i="27" s="1"/>
  <c r="I23" i="27" s="1"/>
  <c r="AE39" i="3"/>
  <c r="AF39" i="3" s="1"/>
  <c r="F23" i="27" s="1"/>
  <c r="G23" i="27" s="1"/>
  <c r="AC39" i="3"/>
  <c r="E23" i="27" s="1"/>
  <c r="AG29" i="3"/>
  <c r="AH29" i="3" s="1"/>
  <c r="H13" i="27" s="1"/>
  <c r="I13" i="27" s="1"/>
  <c r="AE29" i="3"/>
  <c r="AF29" i="3" s="1"/>
  <c r="F13" i="27" s="1"/>
  <c r="G13" i="27" s="1"/>
  <c r="AC29" i="3"/>
  <c r="E13" i="27" s="1"/>
  <c r="AC46" i="3"/>
  <c r="AE46" i="3"/>
  <c r="AF46" i="3" s="1"/>
  <c r="F30" i="27" s="1"/>
  <c r="G30" i="27" s="1"/>
  <c r="AG26" i="3"/>
  <c r="AH26" i="3" s="1"/>
  <c r="AC26" i="3"/>
  <c r="AI26" i="3" s="1"/>
  <c r="AE26" i="3"/>
  <c r="AF26" i="3" s="1"/>
  <c r="F10" i="27" s="1"/>
  <c r="G10" i="27" s="1"/>
  <c r="AD26" i="3"/>
  <c r="AE23" i="3"/>
  <c r="AF23" i="3" s="1"/>
  <c r="AC23" i="3"/>
  <c r="AG25" i="3"/>
  <c r="AH25" i="3" s="1"/>
  <c r="AE25" i="3"/>
  <c r="AF25" i="3" s="1"/>
  <c r="F9" i="27" s="1"/>
  <c r="G9" i="27" s="1"/>
  <c r="AC25" i="3"/>
  <c r="AD25" i="3" s="1"/>
  <c r="AE22" i="3"/>
  <c r="AF22" i="3" s="1"/>
  <c r="AC22" i="3"/>
  <c r="AD22" i="3" s="1"/>
  <c r="AD47" i="3"/>
  <c r="AE53" i="3"/>
  <c r="AF53" i="3" s="1"/>
  <c r="F37" i="27" s="1"/>
  <c r="G37" i="27" s="1"/>
  <c r="AC53" i="3"/>
  <c r="AG21" i="3"/>
  <c r="AH21" i="3" s="1"/>
  <c r="H5" i="27" s="1"/>
  <c r="I5" i="27" s="1"/>
  <c r="AE21" i="3"/>
  <c r="AF21" i="3" s="1"/>
  <c r="F5" i="27" s="1"/>
  <c r="G5" i="27" s="1"/>
  <c r="AC21" i="3"/>
  <c r="AD21" i="3" s="1"/>
  <c r="AG42" i="3"/>
  <c r="AH42" i="3" s="1"/>
  <c r="H26" i="27" s="1"/>
  <c r="I26" i="27" s="1"/>
  <c r="AI21" i="3"/>
  <c r="AC50" i="3"/>
  <c r="AE50" i="3"/>
  <c r="AF50" i="3" s="1"/>
  <c r="F34" i="27" s="1"/>
  <c r="G34" i="27" s="1"/>
  <c r="AC42" i="3"/>
  <c r="AI42" i="3" s="1"/>
  <c r="K26" i="27" s="1"/>
  <c r="AE42" i="3"/>
  <c r="AF42" i="3" s="1"/>
  <c r="F26" i="27" s="1"/>
  <c r="G26" i="27" s="1"/>
  <c r="AC24" i="3"/>
  <c r="E8" i="27" s="1"/>
  <c r="AE24" i="3"/>
  <c r="AF24" i="3" s="1"/>
  <c r="F8" i="27" s="1"/>
  <c r="G8" i="27" s="1"/>
  <c r="AC20" i="3"/>
  <c r="AB14" i="3"/>
  <c r="AB17" i="3"/>
  <c r="AB15" i="3"/>
  <c r="AB19" i="3"/>
  <c r="G98" i="28" s="1"/>
  <c r="AB16" i="3"/>
  <c r="AB18" i="3"/>
  <c r="H10" i="27"/>
  <c r="I10" i="27" s="1"/>
  <c r="AA16" i="3"/>
  <c r="AA14" i="3"/>
  <c r="AA17" i="3"/>
  <c r="AA18" i="3"/>
  <c r="AA15" i="3"/>
  <c r="AA19" i="3"/>
  <c r="G49" i="28" s="1"/>
  <c r="Y16" i="3"/>
  <c r="Y17" i="3"/>
  <c r="Y14" i="3"/>
  <c r="Y15" i="3"/>
  <c r="Y18" i="3"/>
  <c r="AG20" i="3"/>
  <c r="Y13" i="3"/>
  <c r="E9" i="27"/>
  <c r="F6" i="27"/>
  <c r="G6" i="27" s="1"/>
  <c r="E10" i="27"/>
  <c r="E5" i="27"/>
  <c r="E7" i="27"/>
  <c r="F7" i="27"/>
  <c r="G7" i="27" s="1"/>
  <c r="AE20" i="3"/>
  <c r="AF20" i="3" s="1"/>
  <c r="F4" i="27" s="1"/>
  <c r="G4" i="27" s="1"/>
  <c r="I18" i="3"/>
  <c r="I19" i="3"/>
  <c r="I16" i="3"/>
  <c r="G18" i="3"/>
  <c r="K17" i="3"/>
  <c r="K16" i="3"/>
  <c r="L16" i="3"/>
  <c r="L19" i="3"/>
  <c r="G19" i="3"/>
  <c r="L18" i="3"/>
  <c r="G16" i="3"/>
  <c r="K18" i="3"/>
  <c r="L17" i="3"/>
  <c r="L15" i="3"/>
  <c r="G17" i="3"/>
  <c r="I15" i="3"/>
  <c r="I17" i="3"/>
  <c r="O19" i="3"/>
  <c r="G15" i="3"/>
  <c r="K19" i="3"/>
  <c r="K15" i="3"/>
  <c r="M16" i="3"/>
  <c r="M15" i="3"/>
  <c r="M17" i="3"/>
  <c r="M18" i="3"/>
  <c r="M19" i="3"/>
  <c r="N19" i="3"/>
  <c r="N16" i="3"/>
  <c r="N18" i="3"/>
  <c r="N15" i="3"/>
  <c r="H15" i="3"/>
  <c r="H16" i="3"/>
  <c r="H19" i="3"/>
  <c r="H18" i="3"/>
  <c r="H17" i="3"/>
  <c r="N17" i="3"/>
  <c r="J15" i="3"/>
  <c r="J17" i="3"/>
  <c r="J16" i="3"/>
  <c r="J19" i="3"/>
  <c r="J18" i="3"/>
  <c r="O15" i="3"/>
  <c r="O16" i="3"/>
  <c r="O18" i="3"/>
  <c r="O17" i="3"/>
  <c r="P17" i="3"/>
  <c r="P16" i="3"/>
  <c r="P18" i="3"/>
  <c r="P15" i="3"/>
  <c r="P19" i="3"/>
  <c r="F18" i="3"/>
  <c r="F19" i="3"/>
  <c r="F16" i="3"/>
  <c r="F17" i="3"/>
  <c r="F15" i="3"/>
  <c r="AI6" i="3"/>
  <c r="E6" i="27" l="1"/>
  <c r="AD24" i="3"/>
  <c r="AI28" i="3"/>
  <c r="K12" i="27" s="1"/>
  <c r="E16" i="27"/>
  <c r="E12" i="27"/>
  <c r="AD41" i="3"/>
  <c r="AI41" i="3"/>
  <c r="K25" i="27" s="1"/>
  <c r="E36" i="27"/>
  <c r="AI52" i="3"/>
  <c r="K36" i="27" s="1"/>
  <c r="AD52" i="3"/>
  <c r="E33" i="27"/>
  <c r="AI49" i="3"/>
  <c r="K33" i="27" s="1"/>
  <c r="AD49" i="3"/>
  <c r="E17" i="27"/>
  <c r="AD33" i="3"/>
  <c r="AI33" i="3"/>
  <c r="K17" i="27" s="1"/>
  <c r="AD31" i="3"/>
  <c r="AI31" i="3"/>
  <c r="K15" i="27" s="1"/>
  <c r="E27" i="27"/>
  <c r="AI43" i="3"/>
  <c r="K27" i="27" s="1"/>
  <c r="AD43" i="3"/>
  <c r="AD44" i="3"/>
  <c r="AI44" i="3"/>
  <c r="K28" i="27" s="1"/>
  <c r="E32" i="27"/>
  <c r="AI48" i="3"/>
  <c r="K32" i="27" s="1"/>
  <c r="AD48" i="3"/>
  <c r="AD30" i="3"/>
  <c r="AI30" i="3"/>
  <c r="K14" i="27" s="1"/>
  <c r="AI27" i="3"/>
  <c r="AD27" i="3"/>
  <c r="E35" i="27"/>
  <c r="AI51" i="3"/>
  <c r="K35" i="27" s="1"/>
  <c r="AD51" i="3"/>
  <c r="E19" i="27"/>
  <c r="AI35" i="3"/>
  <c r="K19" i="27" s="1"/>
  <c r="AD35" i="3"/>
  <c r="E29" i="27"/>
  <c r="AI45" i="3"/>
  <c r="K29" i="27" s="1"/>
  <c r="AD45" i="3"/>
  <c r="E21" i="27"/>
  <c r="AI37" i="3"/>
  <c r="K21" i="27" s="1"/>
  <c r="AD37" i="3"/>
  <c r="AI36" i="3"/>
  <c r="K20" i="27" s="1"/>
  <c r="AD36" i="3"/>
  <c r="E18" i="27"/>
  <c r="AD34" i="3"/>
  <c r="AI34" i="3"/>
  <c r="K18" i="27" s="1"/>
  <c r="AI32" i="3"/>
  <c r="K16" i="27" s="1"/>
  <c r="AD38" i="3"/>
  <c r="AI38" i="3"/>
  <c r="K22" i="27" s="1"/>
  <c r="AD40" i="3"/>
  <c r="AI39" i="3"/>
  <c r="K23" i="27" s="1"/>
  <c r="AD39" i="3"/>
  <c r="AI29" i="3"/>
  <c r="K13" i="27" s="1"/>
  <c r="AD29" i="3"/>
  <c r="E30" i="27"/>
  <c r="AI46" i="3"/>
  <c r="K30" i="27" s="1"/>
  <c r="AD46" i="3"/>
  <c r="AD23" i="3"/>
  <c r="AI23" i="3"/>
  <c r="AI25" i="3"/>
  <c r="K9" i="27" s="1"/>
  <c r="AI22" i="3"/>
  <c r="E37" i="27"/>
  <c r="AI53" i="3"/>
  <c r="K37" i="27" s="1"/>
  <c r="AD53" i="3"/>
  <c r="E26" i="27"/>
  <c r="AD42" i="3"/>
  <c r="E34" i="27"/>
  <c r="AI50" i="3"/>
  <c r="K34" i="27" s="1"/>
  <c r="AD50" i="3"/>
  <c r="AI24" i="3"/>
  <c r="K8" i="27" s="1"/>
  <c r="AD20" i="3"/>
  <c r="AI20" i="3"/>
  <c r="E54" i="28"/>
  <c r="E55" i="28" s="1"/>
  <c r="F54" i="28"/>
  <c r="F55" i="28" s="1"/>
  <c r="D54" i="28"/>
  <c r="D55" i="28" s="1"/>
  <c r="C54" i="28"/>
  <c r="C55" i="28" s="1"/>
  <c r="D103" i="28"/>
  <c r="D104" i="28" s="1"/>
  <c r="E103" i="28"/>
  <c r="E104" i="28" s="1"/>
  <c r="F103" i="28"/>
  <c r="F104" i="28" s="1"/>
  <c r="C103" i="28"/>
  <c r="C104" i="28" s="1"/>
  <c r="E4" i="27"/>
  <c r="K4" i="27"/>
  <c r="F32" i="9"/>
  <c r="G32" i="9" s="1"/>
  <c r="E41" i="19"/>
  <c r="I13" i="20"/>
  <c r="J13" i="20" s="1"/>
  <c r="K13" i="20"/>
  <c r="L13" i="20" s="1"/>
  <c r="F33" i="9"/>
  <c r="G41" i="19"/>
  <c r="I41" i="19"/>
  <c r="M13" i="20"/>
  <c r="N13" i="20" s="1"/>
  <c r="H32" i="9"/>
  <c r="I32" i="9" s="1"/>
  <c r="J32" i="9"/>
  <c r="K32" i="9" s="1"/>
  <c r="O13" i="20"/>
  <c r="P13" i="20" s="1"/>
  <c r="BA20" i="3"/>
  <c r="BA26" i="3"/>
  <c r="G11" i="20" s="1"/>
  <c r="BA23" i="3"/>
  <c r="F11" i="20" s="1"/>
  <c r="O12" i="20"/>
  <c r="P12" i="20" s="1"/>
  <c r="J30" i="9"/>
  <c r="I12" i="20"/>
  <c r="J12" i="20" s="1"/>
  <c r="F30" i="9"/>
  <c r="E40" i="19"/>
  <c r="K12" i="20"/>
  <c r="L12" i="20" s="1"/>
  <c r="G40" i="19"/>
  <c r="F31" i="9"/>
  <c r="H30" i="9"/>
  <c r="M12" i="20"/>
  <c r="N12" i="20" s="1"/>
  <c r="I40" i="19"/>
  <c r="I11" i="20"/>
  <c r="J11" i="20" s="1"/>
  <c r="E7" i="19"/>
  <c r="F28" i="9"/>
  <c r="K11" i="20"/>
  <c r="L11" i="20" s="1"/>
  <c r="G7" i="19"/>
  <c r="F29" i="9"/>
  <c r="H28" i="9"/>
  <c r="M11" i="20"/>
  <c r="N11" i="20" s="1"/>
  <c r="I7" i="19"/>
  <c r="H9" i="27"/>
  <c r="I9" i="27" s="1"/>
  <c r="AG19" i="3"/>
  <c r="AH19" i="3" s="1"/>
  <c r="H44" i="27" s="1"/>
  <c r="K10" i="27"/>
  <c r="K11" i="27"/>
  <c r="K5" i="27"/>
  <c r="K6" i="27"/>
  <c r="K7" i="27"/>
  <c r="H17" i="9"/>
  <c r="I17" i="9" s="1"/>
  <c r="J15" i="9"/>
  <c r="K15" i="9" s="1"/>
  <c r="H15" i="9"/>
  <c r="I15" i="9" s="1"/>
  <c r="J16" i="9"/>
  <c r="K16" i="9" s="1"/>
  <c r="J17" i="9"/>
  <c r="K17" i="9" s="1"/>
  <c r="H16" i="9"/>
  <c r="I16" i="9" s="1"/>
  <c r="H13" i="9"/>
  <c r="I13" i="9" s="1"/>
  <c r="J13" i="9"/>
  <c r="K13" i="9" s="1"/>
  <c r="J11" i="9"/>
  <c r="K11" i="9" s="1"/>
  <c r="H11" i="9"/>
  <c r="I11" i="9" s="1"/>
  <c r="BB26" i="3"/>
  <c r="BB21" i="3"/>
  <c r="AH20" i="3"/>
  <c r="H4" i="27" s="1"/>
  <c r="I4" i="27" s="1"/>
  <c r="AC19" i="3"/>
  <c r="Q16" i="3"/>
  <c r="Q15" i="3"/>
  <c r="Q18" i="3"/>
  <c r="H21" i="9" s="1"/>
  <c r="I21" i="9" s="1"/>
  <c r="Q17" i="3"/>
  <c r="Q19" i="3"/>
  <c r="J21" i="9" s="1"/>
  <c r="K21" i="9" s="1"/>
  <c r="F19" i="9"/>
  <c r="G19" i="9" s="1"/>
  <c r="L7" i="25" s="1"/>
  <c r="J14" i="9"/>
  <c r="K14" i="9" s="1"/>
  <c r="BC22" i="3"/>
  <c r="H12" i="9"/>
  <c r="I12" i="9" s="1"/>
  <c r="H20" i="9"/>
  <c r="I20" i="9" s="1"/>
  <c r="F18" i="9"/>
  <c r="G18" i="9" s="1"/>
  <c r="K7" i="25" s="1"/>
  <c r="J5" i="26"/>
  <c r="J6" i="26" s="1"/>
  <c r="F13" i="9"/>
  <c r="G13" i="9" s="1"/>
  <c r="F7" i="25" s="1"/>
  <c r="E5" i="26"/>
  <c r="E6" i="26" s="1"/>
  <c r="F17" i="9"/>
  <c r="G17" i="9" s="1"/>
  <c r="J7" i="25" s="1"/>
  <c r="I5" i="26"/>
  <c r="I6" i="26" s="1"/>
  <c r="F14" i="9"/>
  <c r="G14" i="9" s="1"/>
  <c r="G7" i="25" s="1"/>
  <c r="F5" i="26"/>
  <c r="F6" i="26" s="1"/>
  <c r="BC20" i="3"/>
  <c r="J10" i="9"/>
  <c r="K10" i="9" s="1"/>
  <c r="J18" i="9"/>
  <c r="K18" i="9" s="1"/>
  <c r="H10" i="9"/>
  <c r="I10" i="9" s="1"/>
  <c r="C5" i="26"/>
  <c r="C6" i="26" s="1"/>
  <c r="F11" i="9"/>
  <c r="G11" i="9" s="1"/>
  <c r="D7" i="25" s="1"/>
  <c r="G5" i="26"/>
  <c r="G6" i="26" s="1"/>
  <c r="F15" i="9"/>
  <c r="G15" i="9" s="1"/>
  <c r="H7" i="25" s="1"/>
  <c r="L5" i="26"/>
  <c r="L6" i="26" s="1"/>
  <c r="F20" i="9"/>
  <c r="G20" i="9" s="1"/>
  <c r="M7" i="25" s="1"/>
  <c r="J12" i="9"/>
  <c r="K12" i="9" s="1"/>
  <c r="J19" i="9"/>
  <c r="K19" i="9" s="1"/>
  <c r="H14" i="9"/>
  <c r="I14" i="9" s="1"/>
  <c r="BC21" i="3"/>
  <c r="B5" i="26"/>
  <c r="B6" i="26" s="1"/>
  <c r="F10" i="9"/>
  <c r="G10" i="9" s="1"/>
  <c r="J20" i="9"/>
  <c r="K20" i="9" s="1"/>
  <c r="H18" i="9"/>
  <c r="I18" i="9" s="1"/>
  <c r="F12" i="9"/>
  <c r="G12" i="9" s="1"/>
  <c r="E7" i="25" s="1"/>
  <c r="D5" i="26"/>
  <c r="D6" i="26" s="1"/>
  <c r="H5" i="26"/>
  <c r="H6" i="26" s="1"/>
  <c r="F16" i="9"/>
  <c r="G16" i="9" s="1"/>
  <c r="I7" i="25" s="1"/>
  <c r="H19" i="9"/>
  <c r="I19" i="9" s="1"/>
  <c r="C7" i="25" l="1"/>
  <c r="AI15" i="3"/>
  <c r="AI17" i="3"/>
  <c r="AI16" i="3"/>
  <c r="I8" i="18" s="1"/>
  <c r="AI18" i="3"/>
  <c r="E8" i="18" s="1"/>
  <c r="AI19" i="3"/>
  <c r="AC18" i="3"/>
  <c r="AD19" i="3"/>
  <c r="AK20" i="3" s="1"/>
  <c r="F21" i="9"/>
  <c r="G21" i="9" s="1"/>
  <c r="N7" i="25" s="1"/>
  <c r="M5" i="26"/>
  <c r="M6" i="26" s="1"/>
  <c r="R15" i="3"/>
  <c r="R18" i="3"/>
  <c r="R17" i="3"/>
  <c r="R19" i="3"/>
  <c r="R16" i="3"/>
  <c r="K5" i="26"/>
  <c r="K6" i="26" s="1"/>
  <c r="J7" i="19"/>
  <c r="F7" i="19"/>
  <c r="D7" i="19"/>
  <c r="C7" i="19"/>
  <c r="H7" i="19"/>
  <c r="AJ20" i="3" l="1"/>
  <c r="C4" i="9"/>
  <c r="E44" i="27"/>
  <c r="G8" i="18"/>
  <c r="D6" i="17"/>
  <c r="G5" i="9"/>
  <c r="D5" i="9"/>
  <c r="C6" i="17"/>
  <c r="C8" i="18"/>
  <c r="D8" i="18" s="1"/>
  <c r="K8" i="18"/>
  <c r="E6" i="17"/>
  <c r="K5" i="9"/>
  <c r="J22" i="9"/>
  <c r="K22" i="9" s="1"/>
  <c r="S15" i="3"/>
  <c r="S19" i="3"/>
  <c r="S16" i="3"/>
  <c r="S18" i="3"/>
  <c r="S17" i="3"/>
  <c r="N5" i="26"/>
  <c r="N6" i="26" s="1"/>
  <c r="F22" i="9"/>
  <c r="G22" i="9" s="1"/>
  <c r="O7" i="25" s="1"/>
  <c r="H22" i="9"/>
  <c r="I22" i="9" s="1"/>
  <c r="H23" i="9" l="1"/>
  <c r="I23" i="9" s="1"/>
  <c r="F23" i="9"/>
  <c r="G23" i="9" s="1"/>
  <c r="P7" i="25" s="1"/>
  <c r="O5" i="26"/>
  <c r="O6" i="26" s="1"/>
  <c r="T18" i="3"/>
  <c r="BA24" i="3" s="1"/>
  <c r="T17" i="3"/>
  <c r="BA21" i="3" s="1"/>
  <c r="T19" i="3"/>
  <c r="T16" i="3"/>
  <c r="T15" i="3"/>
  <c r="J23" i="9"/>
  <c r="K23" i="9" s="1"/>
  <c r="BA27" i="3" l="1"/>
  <c r="G12" i="20" s="1"/>
  <c r="D12" i="20"/>
  <c r="E12" i="20" s="1"/>
  <c r="F12" i="20"/>
  <c r="F24" i="9"/>
  <c r="G24" i="9" s="1"/>
  <c r="Q7" i="25" s="1"/>
  <c r="H24" i="9"/>
  <c r="I24" i="9" s="1"/>
  <c r="BC24" i="3"/>
  <c r="U16" i="3"/>
  <c r="U15" i="3"/>
  <c r="U17" i="3"/>
  <c r="U19" i="3"/>
  <c r="U18" i="3"/>
  <c r="J24" i="9"/>
  <c r="K24" i="9" s="1"/>
  <c r="BC25" i="3"/>
  <c r="P5" i="26"/>
  <c r="P6" i="26" s="1"/>
  <c r="BC23" i="3"/>
  <c r="J25" i="9" l="1"/>
  <c r="BF21" i="3"/>
  <c r="H25" i="9"/>
  <c r="I25" i="9" s="1"/>
  <c r="F25" i="9"/>
  <c r="G25" i="9" s="1"/>
  <c r="R7" i="25" s="1"/>
  <c r="Q5" i="26"/>
  <c r="V17" i="3"/>
  <c r="V15" i="3"/>
  <c r="V16" i="3"/>
  <c r="V18" i="3"/>
  <c r="H26" i="9" s="1"/>
  <c r="I26" i="9" s="1"/>
  <c r="V19" i="3"/>
  <c r="J26" i="9" s="1"/>
  <c r="F26" i="9" l="1"/>
  <c r="G26" i="9" s="1"/>
  <c r="S7" i="25" s="1"/>
  <c r="R5" i="26"/>
  <c r="R6" i="26" s="1"/>
  <c r="W17" i="3"/>
  <c r="BA22" i="3" s="1"/>
  <c r="W18" i="3"/>
  <c r="BA25" i="3" s="1"/>
  <c r="W15" i="3"/>
  <c r="W16" i="3"/>
  <c r="W19" i="3"/>
  <c r="J27" i="9" s="1"/>
  <c r="BA28" i="3" l="1"/>
  <c r="G13" i="20" s="1"/>
  <c r="D13" i="20"/>
  <c r="E13" i="20" s="1"/>
  <c r="H27" i="9"/>
  <c r="I27" i="9" s="1"/>
  <c r="K25" i="9"/>
  <c r="S5" i="26"/>
  <c r="S6" i="26" s="1"/>
  <c r="F27" i="9"/>
  <c r="G27" i="9" s="1"/>
  <c r="T7" i="25" s="1"/>
  <c r="AE19" i="3"/>
  <c r="Q6" i="26"/>
  <c r="Y19" i="3"/>
  <c r="G5" i="28" s="1"/>
  <c r="G10" i="28" l="1"/>
  <c r="G11" i="28" s="1"/>
  <c r="C10" i="28"/>
  <c r="C11" i="28" s="1"/>
  <c r="F10" i="28"/>
  <c r="F11" i="28" s="1"/>
  <c r="D10" i="28"/>
  <c r="D11" i="28" s="1"/>
  <c r="E10" i="28"/>
  <c r="E11" i="28" s="1"/>
  <c r="J28" i="9"/>
  <c r="O11" i="20"/>
  <c r="P11" i="20" s="1"/>
  <c r="K7" i="19"/>
  <c r="D5" i="22"/>
  <c r="AF19" i="3"/>
  <c r="F13" i="20"/>
  <c r="K26" i="9"/>
  <c r="I28" i="9"/>
  <c r="G28" i="9"/>
  <c r="U7" i="25" s="1"/>
  <c r="G29" i="9"/>
  <c r="G31" i="9"/>
  <c r="J8" i="18"/>
  <c r="L8" i="18"/>
  <c r="B6" i="17"/>
  <c r="F44" i="27" l="1"/>
  <c r="E5" i="22"/>
  <c r="AM20" i="3"/>
  <c r="AM23" i="3"/>
  <c r="BB20" i="3"/>
  <c r="BB22" i="3"/>
  <c r="K40" i="19"/>
  <c r="BB23" i="3"/>
  <c r="G30" i="9"/>
  <c r="V7" i="25" s="1"/>
  <c r="I30" i="9"/>
  <c r="AM57" i="3"/>
  <c r="AM38" i="3"/>
  <c r="AM50" i="3"/>
  <c r="AM45" i="3"/>
  <c r="AM30" i="3"/>
  <c r="AM58" i="3"/>
  <c r="AM22" i="3"/>
  <c r="AM32" i="3"/>
  <c r="AM54" i="3"/>
  <c r="AM55" i="3"/>
  <c r="AM59" i="3"/>
  <c r="AM40" i="3"/>
  <c r="AM47" i="3"/>
  <c r="AM34" i="3"/>
  <c r="AM46" i="3"/>
  <c r="AM53" i="3"/>
  <c r="AM36" i="3"/>
  <c r="AM28" i="3"/>
  <c r="AM49" i="3"/>
  <c r="AM37" i="3"/>
  <c r="AM26" i="3"/>
  <c r="AM27" i="3"/>
  <c r="AM29" i="3"/>
  <c r="AM31" i="3"/>
  <c r="AM25" i="3"/>
  <c r="AM39" i="3"/>
  <c r="AM48" i="3"/>
  <c r="AM21" i="3"/>
  <c r="AM42" i="3"/>
  <c r="AM35" i="3"/>
  <c r="AM43" i="3"/>
  <c r="AM44" i="3"/>
  <c r="AM51" i="3"/>
  <c r="AM56" i="3"/>
  <c r="AM33" i="3"/>
  <c r="AM24" i="3"/>
  <c r="AM52" i="3"/>
  <c r="AM41" i="3"/>
  <c r="D11" i="20"/>
  <c r="E11" i="20" s="1"/>
  <c r="K30" i="9"/>
  <c r="K27" i="9"/>
  <c r="AK59" i="3"/>
  <c r="AK22" i="3"/>
  <c r="AK54" i="3"/>
  <c r="AK52" i="3"/>
  <c r="AK35" i="3"/>
  <c r="AK27" i="3"/>
  <c r="AK39" i="3"/>
  <c r="AK58" i="3"/>
  <c r="AK23" i="3"/>
  <c r="AK45" i="3"/>
  <c r="AK57" i="3"/>
  <c r="AK50" i="3"/>
  <c r="AK42" i="3"/>
  <c r="AK21" i="3"/>
  <c r="AK55" i="3"/>
  <c r="AK28" i="3"/>
  <c r="AK25" i="3"/>
  <c r="AK40" i="3"/>
  <c r="AK48" i="3"/>
  <c r="AK32" i="3"/>
  <c r="AK44" i="3"/>
  <c r="AK47" i="3"/>
  <c r="AK36" i="3"/>
  <c r="AK38" i="3"/>
  <c r="AK51" i="3"/>
  <c r="AK24" i="3"/>
  <c r="AK29" i="3"/>
  <c r="AK53" i="3"/>
  <c r="AK49" i="3"/>
  <c r="AK43" i="3"/>
  <c r="AK33" i="3"/>
  <c r="AK30" i="3"/>
  <c r="AK56" i="3"/>
  <c r="AK41" i="3"/>
  <c r="AK37" i="3"/>
  <c r="AK26" i="3"/>
  <c r="AK46" i="3"/>
  <c r="AK31" i="3"/>
  <c r="AK34" i="3"/>
  <c r="H8" i="18"/>
  <c r="AJ23" i="3"/>
  <c r="AJ57" i="3"/>
  <c r="AJ28" i="3"/>
  <c r="AJ43" i="3"/>
  <c r="AJ50" i="3"/>
  <c r="AJ41" i="3"/>
  <c r="AJ52" i="3"/>
  <c r="AJ27" i="3"/>
  <c r="AJ56" i="3"/>
  <c r="AJ37" i="3"/>
  <c r="AJ55" i="3"/>
  <c r="AJ58" i="3"/>
  <c r="AJ22" i="3"/>
  <c r="AJ49" i="3"/>
  <c r="AJ53" i="3"/>
  <c r="AJ36" i="3"/>
  <c r="AJ38" i="3"/>
  <c r="AJ54" i="3"/>
  <c r="AJ31" i="3"/>
  <c r="AJ44" i="3"/>
  <c r="AJ42" i="3"/>
  <c r="AJ33" i="3"/>
  <c r="AJ51" i="3"/>
  <c r="AJ21" i="3"/>
  <c r="AJ30" i="3"/>
  <c r="AJ35" i="3"/>
  <c r="AJ29" i="3"/>
  <c r="AJ46" i="3"/>
  <c r="AJ34" i="3"/>
  <c r="AJ25" i="3"/>
  <c r="AJ47" i="3"/>
  <c r="AJ45" i="3"/>
  <c r="AJ26" i="3"/>
  <c r="AJ40" i="3"/>
  <c r="AJ24" i="3"/>
  <c r="AJ48" i="3"/>
  <c r="AJ32" i="3"/>
  <c r="AJ59" i="3"/>
  <c r="AJ39" i="3"/>
  <c r="F8" i="18"/>
  <c r="G33" i="9"/>
  <c r="BB25" i="3" l="1"/>
  <c r="BB27" i="3"/>
  <c r="K41" i="19"/>
  <c r="BB28" i="3"/>
  <c r="W7" i="25"/>
  <c r="K28" i="9"/>
</calcChain>
</file>

<file path=xl/comments1.xml><?xml version="1.0" encoding="utf-8"?>
<comments xmlns="http://schemas.openxmlformats.org/spreadsheetml/2006/main">
  <authors>
    <author>РЦОКО</author>
  </authors>
  <commentList>
    <comment ref="A1" authorId="0">
      <text>
        <r>
          <rPr>
            <b/>
            <sz val="8"/>
            <color indexed="81"/>
            <rFont val="Tahoma"/>
            <family val="2"/>
            <charset val="204"/>
          </rPr>
          <t>РЦОКО:</t>
        </r>
      </text>
    </comment>
  </commentList>
</comments>
</file>

<file path=xl/comments2.xml><?xml version="1.0" encoding="utf-8"?>
<comments xmlns="http://schemas.openxmlformats.org/spreadsheetml/2006/main">
  <authors>
    <author>РЦОКО</author>
    <author>Ася Шеленок</author>
  </authors>
  <commentList>
    <comment ref="AG11" authorId="0">
      <text>
        <r>
          <rPr>
            <b/>
            <sz val="9"/>
            <color indexed="81"/>
            <rFont val="Tahoma"/>
            <family val="2"/>
            <charset val="204"/>
          </rPr>
          <t>РЦОКО:</t>
        </r>
        <r>
          <rPr>
            <sz val="9"/>
            <color indexed="81"/>
            <rFont val="Tahoma"/>
            <family val="2"/>
            <charset val="204"/>
          </rPr>
          <t xml:space="preserve">
Задание повышенного уровня</t>
        </r>
      </text>
    </comment>
    <comment ref="AC18" authorId="0">
      <text>
        <r>
          <rPr>
            <b/>
            <sz val="8"/>
            <color indexed="81"/>
            <rFont val="Tahoma"/>
            <family val="2"/>
            <charset val="204"/>
          </rPr>
          <t>РЦОКО:</t>
        </r>
        <r>
          <rPr>
            <sz val="8"/>
            <color indexed="81"/>
            <rFont val="Tahoma"/>
            <family val="2"/>
            <charset val="204"/>
          </rPr>
          <t xml:space="preserve">
средний балл</t>
        </r>
      </text>
    </comment>
    <comment ref="AC19" authorId="0">
      <text>
        <r>
          <rPr>
            <b/>
            <sz val="8"/>
            <color indexed="81"/>
            <rFont val="Tahoma"/>
            <family val="2"/>
            <charset val="204"/>
          </rPr>
          <t>РЦОКО:</t>
        </r>
        <r>
          <rPr>
            <sz val="8"/>
            <color indexed="81"/>
            <rFont val="Tahoma"/>
            <family val="2"/>
            <charset val="204"/>
          </rPr>
          <t xml:space="preserve">
сумма баллов</t>
        </r>
      </text>
    </comment>
    <comment ref="BA20" authorId="0">
      <text>
        <r>
          <rPr>
            <b/>
            <sz val="8"/>
            <color indexed="81"/>
            <rFont val="Tahoma"/>
            <family val="2"/>
            <charset val="204"/>
          </rPr>
          <t>РЦОКО:</t>
        </r>
        <r>
          <rPr>
            <sz val="8"/>
            <color indexed="81"/>
            <rFont val="Tahoma"/>
            <family val="2"/>
            <charset val="204"/>
          </rPr>
          <t xml:space="preserve">
максимум
</t>
        </r>
      </text>
    </comment>
    <comment ref="BA23" authorId="1">
      <text>
        <r>
          <rPr>
            <b/>
            <sz val="9"/>
            <color indexed="81"/>
            <rFont val="Tahoma"/>
            <family val="2"/>
            <charset val="204"/>
          </rPr>
          <t>Ася Шеленок:</t>
        </r>
        <r>
          <rPr>
            <sz val="9"/>
            <color indexed="81"/>
            <rFont val="Tahoma"/>
            <family val="2"/>
            <charset val="204"/>
          </rPr>
          <t xml:space="preserve">
0 баллов</t>
        </r>
      </text>
    </comment>
  </commentList>
</comments>
</file>

<file path=xl/sharedStrings.xml><?xml version="1.0" encoding="utf-8"?>
<sst xmlns="http://schemas.openxmlformats.org/spreadsheetml/2006/main" count="790" uniqueCount="326">
  <si>
    <t>Код школы</t>
  </si>
  <si>
    <t>Код класса</t>
  </si>
  <si>
    <t>№ п/п</t>
  </si>
  <si>
    <t>Фамилия, Имя учащегося</t>
  </si>
  <si>
    <t>(1)</t>
  </si>
  <si>
    <t>(2)</t>
  </si>
  <si>
    <t>(3)</t>
  </si>
  <si>
    <t>(4)</t>
  </si>
  <si>
    <t>Код школы:</t>
  </si>
  <si>
    <t>Код класса:</t>
  </si>
  <si>
    <t>Дата рождения (мес/год)</t>
  </si>
  <si>
    <t>Пол (ж-1; м-2)</t>
  </si>
  <si>
    <t>Дата проведения:</t>
  </si>
  <si>
    <t>Данные для всех учащихся внесены</t>
  </si>
  <si>
    <t>№ учащегося</t>
  </si>
  <si>
    <t>№ по журналу</t>
  </si>
  <si>
    <t>ИТОГОВЫЙ БАЛЛ</t>
  </si>
  <si>
    <t>1000</t>
  </si>
  <si>
    <t>1010</t>
  </si>
  <si>
    <t>1001</t>
  </si>
  <si>
    <t>Процент от максимального балла за всю работу</t>
  </si>
  <si>
    <t>(7)</t>
  </si>
  <si>
    <t>Код учащегося</t>
  </si>
  <si>
    <t>ФИО</t>
  </si>
  <si>
    <t>Nуч</t>
  </si>
  <si>
    <t>Выполнение работы</t>
  </si>
  <si>
    <t>MA1</t>
  </si>
  <si>
    <t>1. Ф.И.О. школьного координатора:</t>
  </si>
  <si>
    <t>2. Ф.И.О. лица, проводящего тестирование:</t>
  </si>
  <si>
    <t>3. Статус лица, проводящего тестирование:</t>
  </si>
  <si>
    <t>4. Дата проведения тестирования:</t>
  </si>
  <si>
    <t>5. Время проведения работы</t>
  </si>
  <si>
    <t>НАЧАЛО</t>
  </si>
  <si>
    <t>КОНЕЦ</t>
  </si>
  <si>
    <t>Организационная часть:</t>
  </si>
  <si>
    <t>Выполнение работы:</t>
  </si>
  <si>
    <t>6. Возникли ли у тестируемых какие-либо проблемы во время работы, например, задания оказались слишком трудными, не хватило времени, появилась усталость)?</t>
  </si>
  <si>
    <t>Пожалуйста, поясните:</t>
  </si>
  <si>
    <t>7. Отметьте номера вариантов и номера заданий, которые вызвали затруднения у учащихся:</t>
  </si>
  <si>
    <t>БОЛЬШОЕ СПАСИБО за ВАШУ РАБОТУ!</t>
  </si>
  <si>
    <t>Бунеев Р.Н. и др.</t>
  </si>
  <si>
    <t>Башмаков М.И. и др.</t>
  </si>
  <si>
    <t>гимназия</t>
  </si>
  <si>
    <t>Зеленина Л.М. и др.</t>
  </si>
  <si>
    <t>Ефросинина Л.А.</t>
  </si>
  <si>
    <t>Гейдман Б.П. и др.</t>
  </si>
  <si>
    <t>с углубленным изучением отдельных предметов</t>
  </si>
  <si>
    <t>Горецкий В.Г. и др.</t>
  </si>
  <si>
    <t>Иванов С.В. и др.</t>
  </si>
  <si>
    <t>Кац Э.Э.</t>
  </si>
  <si>
    <t>Давыдов В.В. и др.</t>
  </si>
  <si>
    <t>учебно-воспитательный комплекс</t>
  </si>
  <si>
    <t>Журова Л.Е. и др.</t>
  </si>
  <si>
    <t>Канапина В.П. и др.</t>
  </si>
  <si>
    <t>Климанова Л.Ф. и др.</t>
  </si>
  <si>
    <t>Демидова Т.Е. и др</t>
  </si>
  <si>
    <t>Другой</t>
  </si>
  <si>
    <t>Кубасов О.В.</t>
  </si>
  <si>
    <t>Ломакович С.В. и др.</t>
  </si>
  <si>
    <t>Кубасов О.В. (УМК "Гармония")</t>
  </si>
  <si>
    <t xml:space="preserve">Истомина Н.Б. </t>
  </si>
  <si>
    <t>Нечаева Н.В. и др.</t>
  </si>
  <si>
    <t>Полякова А.В.</t>
  </si>
  <si>
    <t>Кубасов О.В. (серия "Для сердца и ума")</t>
  </si>
  <si>
    <t>Моро М.И. и др.</t>
  </si>
  <si>
    <t>Репкин В.В. и др.</t>
  </si>
  <si>
    <t>Рамзаева Т.Г.</t>
  </si>
  <si>
    <t>Кудина Г.Н. и др.</t>
  </si>
  <si>
    <t>АНКЕТА ДЛЯ УЧИТЕЛЯ</t>
  </si>
  <si>
    <t>Код учителя</t>
  </si>
  <si>
    <t>1. Тип школы</t>
  </si>
  <si>
    <t>2. Вид школы</t>
  </si>
  <si>
    <t>3. Продолжительность урока</t>
  </si>
  <si>
    <t>минут</t>
  </si>
  <si>
    <t>4. Число учащихся в классе</t>
  </si>
  <si>
    <t>лет</t>
  </si>
  <si>
    <t>СПАСИБО ЗА ОТВЕТЫ!</t>
  </si>
  <si>
    <t>7. Ваш возраст</t>
  </si>
  <si>
    <t>9. Ваш стаж</t>
  </si>
  <si>
    <t>СПИСОК КЛАССА</t>
  </si>
  <si>
    <t>8. Ваша категория</t>
  </si>
  <si>
    <t>Уровень сложности</t>
  </si>
  <si>
    <t>Выполнили верно</t>
  </si>
  <si>
    <t>Выполнили неверно</t>
  </si>
  <si>
    <t>чел.</t>
  </si>
  <si>
    <t>%</t>
  </si>
  <si>
    <t>Б</t>
  </si>
  <si>
    <t>№ задания</t>
  </si>
  <si>
    <t>Максимальный балл за выполнение</t>
  </si>
  <si>
    <t>П</t>
  </si>
  <si>
    <t>ОУ:</t>
  </si>
  <si>
    <t>ID класса:</t>
  </si>
  <si>
    <t>Проверяемое содержание</t>
  </si>
  <si>
    <t>Не приступили к выполнению</t>
  </si>
  <si>
    <t>2 балла</t>
  </si>
  <si>
    <t>1 балл</t>
  </si>
  <si>
    <t>Успешность выполнения работы (средний % от максимального балла за всю работу)</t>
  </si>
  <si>
    <t>Класс</t>
  </si>
  <si>
    <t>Уровень достижений</t>
  </si>
  <si>
    <t>общеобразовательная</t>
  </si>
  <si>
    <t>лицей</t>
  </si>
  <si>
    <t>интернат</t>
  </si>
  <si>
    <t>Александрова Э.И. (Вита-пресс)</t>
  </si>
  <si>
    <t>Александрова Э.И. (Дрофа)</t>
  </si>
  <si>
    <t>Аргинская И.И., Ивановская Е.И., Кормишина С.Н. (Федоров)</t>
  </si>
  <si>
    <t>Башмаков М.И., Нефедова М.Г. (АСТ. Астрель)</t>
  </si>
  <si>
    <t>Гейдман Б.П., Мишарина И.Э., Зверева Е.А. (МЦНМО)</t>
  </si>
  <si>
    <t>Давыдов В.В., Горбов С.Ф., Микулина Г.Г. (Вита-пресс)</t>
  </si>
  <si>
    <t>Демидова Т.Е., Козлова С.А., Тонких А.П. (Баласс)</t>
  </si>
  <si>
    <t>Дорофеев Г.В., Миракова Т.Н. (Просвещение)</t>
  </si>
  <si>
    <t>Истомина Н.Б. (Ассоциация XXI век)</t>
  </si>
  <si>
    <t>Моро М.И., Бантова М.А., Бельтюкова Г.В. (Просвещение) и др.</t>
  </si>
  <si>
    <t>Петерсон Л.Г. (Ювента)</t>
  </si>
  <si>
    <t>Рудницкая В.Н., Юдачева Т.В. (ВЕНТАНА-ГРАФ)</t>
  </si>
  <si>
    <t>Чекин А.Л. (Академкнига/Учебник)</t>
  </si>
  <si>
    <t xml:space="preserve">Другой </t>
  </si>
  <si>
    <r>
      <t xml:space="preserve">Кол-во </t>
    </r>
    <r>
      <rPr>
        <b/>
        <u/>
        <sz val="10"/>
        <rFont val="Cambria"/>
        <family val="1"/>
        <charset val="204"/>
      </rPr>
      <t xml:space="preserve">баллов </t>
    </r>
    <r>
      <rPr>
        <b/>
        <sz val="10"/>
        <rFont val="Cambria"/>
        <family val="1"/>
        <charset val="204"/>
      </rPr>
      <t>за задания повышенного уровня</t>
    </r>
  </si>
  <si>
    <t>Базовый</t>
  </si>
  <si>
    <t>Повышенный</t>
  </si>
  <si>
    <t>Высокий</t>
  </si>
  <si>
    <t>Низкий</t>
  </si>
  <si>
    <t>Процент участников, показавших уровень освоения учебного материала:</t>
  </si>
  <si>
    <t>Номер задания (БУ)</t>
  </si>
  <si>
    <t>Номер задания (ПУ)</t>
  </si>
  <si>
    <t>№ элемента</t>
  </si>
  <si>
    <t>0 баллов</t>
  </si>
  <si>
    <t>не приступали</t>
  </si>
  <si>
    <t>доля</t>
  </si>
  <si>
    <r>
      <t xml:space="preserve">Процент от </t>
    </r>
    <r>
      <rPr>
        <b/>
        <u/>
        <sz val="10"/>
        <rFont val="Cambria"/>
        <family val="1"/>
        <charset val="204"/>
      </rPr>
      <t>максимального балла</t>
    </r>
    <r>
      <rPr>
        <b/>
        <sz val="10"/>
        <rFont val="Cambria"/>
        <family val="1"/>
        <charset val="204"/>
      </rPr>
      <t xml:space="preserve"> за выполнение заданий повышенного уровня</t>
    </r>
  </si>
  <si>
    <r>
      <t xml:space="preserve">Процент выполнения </t>
    </r>
    <r>
      <rPr>
        <b/>
        <u/>
        <sz val="10"/>
        <rFont val="Cambria"/>
        <family val="1"/>
        <charset val="204"/>
      </rPr>
      <t>заданий</t>
    </r>
    <r>
      <rPr>
        <b/>
        <sz val="10"/>
        <rFont val="Cambria"/>
        <family val="1"/>
        <charset val="204"/>
      </rPr>
      <t xml:space="preserve"> базового уровня</t>
    </r>
  </si>
  <si>
    <t>Выполняло работу:</t>
  </si>
  <si>
    <t>Выполняло работу</t>
  </si>
  <si>
    <t>N</t>
  </si>
  <si>
    <t>1002</t>
  </si>
  <si>
    <t>1003</t>
  </si>
  <si>
    <t>1004</t>
  </si>
  <si>
    <t>1005</t>
  </si>
  <si>
    <t>1006</t>
  </si>
  <si>
    <t>1007</t>
  </si>
  <si>
    <t>1008</t>
  </si>
  <si>
    <t>1009</t>
  </si>
  <si>
    <t>Название образовательной организации:</t>
  </si>
  <si>
    <t>(5)</t>
  </si>
  <si>
    <t>(6а)</t>
  </si>
  <si>
    <t>(6б)</t>
  </si>
  <si>
    <t>(8)</t>
  </si>
  <si>
    <t>Учащихся в классе:</t>
  </si>
  <si>
    <r>
      <t>Название образовательной организации:</t>
    </r>
    <r>
      <rPr>
        <sz val="11"/>
        <rFont val="Cambria"/>
        <family val="1"/>
        <charset val="204"/>
      </rPr>
      <t xml:space="preserve"> </t>
    </r>
  </si>
  <si>
    <t>ВАРИАНТ</t>
  </si>
  <si>
    <t>НОМЕР ЗАДАНИЯ</t>
  </si>
  <si>
    <t>8. Выскажите, пожалуйста, свои предложения по совершенствованию  материалов:</t>
  </si>
  <si>
    <t>Проверяемые элементы содержания</t>
  </si>
  <si>
    <t>Не достигли базового уровня  (% учащихся, не достигших базового уровня)</t>
  </si>
  <si>
    <t>Достигли базового уровня  (% учащихся, достигших базового уровня)</t>
  </si>
  <si>
    <t>кол-во чел.</t>
  </si>
  <si>
    <t>процент</t>
  </si>
  <si>
    <t>Общее количество баллов за задания базового уровня</t>
  </si>
  <si>
    <t>Среднее количество баллов за задания базового уровня</t>
  </si>
  <si>
    <t>Процент выполнения заданий базового уровня</t>
  </si>
  <si>
    <t>Номер задания</t>
  </si>
  <si>
    <t>Кол-во учащихся полностью выполнивших задание</t>
  </si>
  <si>
    <t>Доля учащихся полностьювы полнивших задание</t>
  </si>
  <si>
    <t>Максимальный балл</t>
  </si>
  <si>
    <t>Задание 19</t>
  </si>
  <si>
    <t>частично</t>
  </si>
  <si>
    <t>Задания выполнены полностью</t>
  </si>
  <si>
    <t>Задания не выполнены</t>
  </si>
  <si>
    <t>Задания выполнены</t>
  </si>
  <si>
    <t>max баллов</t>
  </si>
  <si>
    <t>частично или 0 баллов</t>
  </si>
  <si>
    <t>Ожидаемая решаемость</t>
  </si>
  <si>
    <t>60-90%</t>
  </si>
  <si>
    <t>40-60%</t>
  </si>
  <si>
    <t>Доля учащихся, справившихся с заданием полностью</t>
  </si>
  <si>
    <t>Количество учащихся в классе по журналу</t>
  </si>
  <si>
    <t>6. Укажите автора учебника по математике, по которому Вы работаете в этом учебном году</t>
  </si>
  <si>
    <t>5. Количество уроков математике в неделю</t>
  </si>
  <si>
    <t>РЕЗУЛЬТАТЫ ВЫПОЛНЕНИЯ РАБОТЫ ПО МАТЕМАТИКЕ (ответы учащихся)</t>
  </si>
  <si>
    <t>РЕЗУЛЬТАТЫ ВЫПОЛНЕНИЯ РАБОТЫ ПО МАТЕМАТИКЕ (результаты учащихя)</t>
  </si>
  <si>
    <t>Распределение участников по уровням подготовки по математике</t>
  </si>
  <si>
    <t>19.1</t>
  </si>
  <si>
    <t>19.2</t>
  </si>
  <si>
    <t>19.3</t>
  </si>
  <si>
    <t>19.4</t>
  </si>
  <si>
    <t>19.5</t>
  </si>
  <si>
    <t>20.1</t>
  </si>
  <si>
    <t>20.2</t>
  </si>
  <si>
    <t>20.3</t>
  </si>
  <si>
    <t>20.4</t>
  </si>
  <si>
    <t>21.1</t>
  </si>
  <si>
    <t>21.2</t>
  </si>
  <si>
    <t>21.3</t>
  </si>
  <si>
    <t>21.4</t>
  </si>
  <si>
    <r>
      <t xml:space="preserve">Кол-во </t>
    </r>
    <r>
      <rPr>
        <b/>
        <u/>
        <sz val="10"/>
        <rFont val="Cambria"/>
        <family val="1"/>
        <charset val="204"/>
      </rPr>
      <t>баллов</t>
    </r>
    <r>
      <rPr>
        <b/>
        <sz val="10"/>
        <rFont val="Cambria"/>
        <family val="1"/>
        <charset val="204"/>
      </rPr>
      <t xml:space="preserve"> за задания</t>
    </r>
    <r>
      <rPr>
        <b/>
        <u/>
        <sz val="10"/>
        <rFont val="Cambria"/>
        <family val="1"/>
        <charset val="204"/>
      </rPr>
      <t xml:space="preserve"> </t>
    </r>
    <r>
      <rPr>
        <b/>
        <sz val="10"/>
        <rFont val="Cambria"/>
        <family val="1"/>
        <charset val="204"/>
      </rPr>
      <t>базового уровня</t>
    </r>
  </si>
  <si>
    <t>Вычисление значений выражений</t>
  </si>
  <si>
    <t>Изображение действительных чисел на координатной прямой</t>
  </si>
  <si>
    <t>Действия с выражениями, содержащими степень</t>
  </si>
  <si>
    <t>Решение квадратных уравнений</t>
  </si>
  <si>
    <t>Функции и графики</t>
  </si>
  <si>
    <t>Числовые последовательности и прогрессии</t>
  </si>
  <si>
    <t>Алгебраические дроби</t>
  </si>
  <si>
    <t>Решение неравенств</t>
  </si>
  <si>
    <t>Вычисление значения выражения, содержащего корень</t>
  </si>
  <si>
    <t>Треугольники</t>
  </si>
  <si>
    <t>Основные теоретические положения</t>
  </si>
  <si>
    <t>Вычисление площадей фигур</t>
  </si>
  <si>
    <t>Подобие треугольников</t>
  </si>
  <si>
    <t>Трапеция</t>
  </si>
  <si>
    <t>Вписанные и описанные многоугольники</t>
  </si>
  <si>
    <t>Чтение таблиц</t>
  </si>
  <si>
    <t>Чтение графиков реальных процессов</t>
  </si>
  <si>
    <t>Проценты</t>
  </si>
  <si>
    <t>Решение неравенства, сводящегося к квадратному</t>
  </si>
  <si>
    <t>Прямоугольный треугольник</t>
  </si>
  <si>
    <t>Задача на составление уравнения</t>
  </si>
  <si>
    <t>Алгебра</t>
  </si>
  <si>
    <t>Геометрия</t>
  </si>
  <si>
    <t>Реальная математика</t>
  </si>
  <si>
    <t>16, 17, 18</t>
  </si>
  <si>
    <t>19_1</t>
  </si>
  <si>
    <t>19_2</t>
  </si>
  <si>
    <t>19_3</t>
  </si>
  <si>
    <t>19_4</t>
  </si>
  <si>
    <t>19_5</t>
  </si>
  <si>
    <t>20_1</t>
  </si>
  <si>
    <t>20_2</t>
  </si>
  <si>
    <t>20_3</t>
  </si>
  <si>
    <t>20_4</t>
  </si>
  <si>
    <t>21_1</t>
  </si>
  <si>
    <t>21_2</t>
  </si>
  <si>
    <t>21_3</t>
  </si>
  <si>
    <t>21_4</t>
  </si>
  <si>
    <t>Недостаточный</t>
  </si>
  <si>
    <t>Количество участников</t>
  </si>
  <si>
    <t>Выполнили полностью</t>
  </si>
  <si>
    <t>Задание 20</t>
  </si>
  <si>
    <t>Задание 21</t>
  </si>
  <si>
    <t>1, 2, 3, 4, 5, 6, 7, 8, 9</t>
  </si>
  <si>
    <t>10, 11, 12, 13, 14, 15</t>
  </si>
  <si>
    <t>Итоговая отметка за 9 класс по математике</t>
  </si>
  <si>
    <t>Протокол проведения  работы по МАТЕМАТИКЕ для учащихся 10 классов (2013 год)</t>
  </si>
  <si>
    <t>Средний балл</t>
  </si>
  <si>
    <t>Качество знаний:</t>
  </si>
  <si>
    <t>Ниже базового -</t>
  </si>
  <si>
    <t>Базовый -</t>
  </si>
  <si>
    <t>Выше базового -</t>
  </si>
  <si>
    <t>(повышенный, высокий)</t>
  </si>
  <si>
    <t>(низкий, недостаточный)</t>
  </si>
  <si>
    <t>Результаты выполнения работы по математике по отдельным заданиям (10 класс, начало 2013/2014 учебного года)</t>
  </si>
  <si>
    <t>Возможные ошибки</t>
  </si>
  <si>
    <t>Действия с обычными и десятичными дробями. Нарушение порядка действий, не умение переводить дроби в обыкновенные и десятичные. Вычислительные ошибки</t>
  </si>
  <si>
    <t>Незнание свойств степени, не умение преобразовывать выражения, содержащие степень к степени с одним основанием</t>
  </si>
  <si>
    <t>Не знают способы решения квадратных уравнений. Вычислительные ошибки</t>
  </si>
  <si>
    <t>Ошибки при использовании формул, задающих функции. Ошибки при использовании графиков функций</t>
  </si>
  <si>
    <t>Вычислительные ошибки.  Учащиеся не знают формулу суммы арифметической прогрессии</t>
  </si>
  <si>
    <t>Ошибки при переносе слагаемых из одной стороны неравенства в другую, деление неравенства на отрицательное число. Запись ответа неравенства</t>
  </si>
  <si>
    <t>Вычислительные ошибки</t>
  </si>
  <si>
    <t>Ошибки при использовании формулы квадрата суммы или квадрата разности. Ошибки при приведении подобных слагаемых</t>
  </si>
  <si>
    <t>Ошибки при использовании свойства внешнего угла треугольника, незнание чему равна сумма углов треугольника, вычислительные ошибки. Отсутствие навыков проверки полученного результата</t>
  </si>
  <si>
    <t>Слабое владение понятийным аппаратом, не внимательное чтение утверждений.</t>
  </si>
  <si>
    <t>Ошибки при использовании формул площади основных геометрических фигур. Вычислительные ошибки. Ошибки при записи ответа.</t>
  </si>
  <si>
    <t>Ошибки при составлении пропорции. Ошибки при составлении по тексту задачи составить простейшую математическую модель. Слабое усвоение темы «Пропорциональные отрезки в треугольниках»</t>
  </si>
  <si>
    <t>Слабое знание свойства углов трапеции, прилежащих к боковой стороне. Не умеют  решать задачи на отношение величин.</t>
  </si>
  <si>
    <t>Ошибки при вычислении радиуса описанной окружности как части высоты правильного треугольника</t>
  </si>
  <si>
    <t>При ответе на вопрос не учитывают границы промежутка для величин</t>
  </si>
  <si>
    <t>Ошибки при использовании масштаба чертежа. Не внимательно  читают условие, отвечают не на поставленный вопрос</t>
  </si>
  <si>
    <t>Не умеют решать задачи на проценты. Неверно отвечают на поставленный вопрос</t>
  </si>
  <si>
    <t>Ошибки при использовании формулы квадрата суммы или квадрата разности, ошибки при использовании формул корней квадратного трехчлена, потеря знака при делении обеих частей неравенства на отрицательное число, ошибки при использовании метода интервалов</t>
  </si>
  <si>
    <t>Ошибки при вычислении углов треугольника. Незнание свойств биссектрисы и высоты</t>
  </si>
  <si>
    <t>Ошибки при введении переменной. Ошибки при составлении уравнения. Ошибки при решении уравнения. Вычислительные ошибки</t>
  </si>
  <si>
    <t>1,6 - 0,4 балл</t>
  </si>
  <si>
    <t>1,5 - 0,5 балл</t>
  </si>
  <si>
    <t>Результаты выполнения работы по математике (10 класс, начало 2013/2014)</t>
  </si>
  <si>
    <t>Набрали не более 8 баллов</t>
  </si>
  <si>
    <t>Критическое значение достижения базового уровня (набрали 9 -17баллов)</t>
  </si>
  <si>
    <t>Перспективное значение достижения базового уровня (набрали 18 и более баллов)</t>
  </si>
  <si>
    <t>Результаты выполнения  работы по математике (10 класс, начало 2013/2014)</t>
  </si>
  <si>
    <t>Результаты выполнения заданий базового уровня (математика, 10 класс)</t>
  </si>
  <si>
    <t>Набрали от 0,4 до 1,6 балла</t>
  </si>
  <si>
    <t>Набрали от 0,5 до 1,5 балла</t>
  </si>
  <si>
    <t>баллов</t>
  </si>
  <si>
    <t>Общий балл</t>
  </si>
  <si>
    <t>Процент выполнения заданий повышенного уровня</t>
  </si>
  <si>
    <t>Среднее значение по классу</t>
  </si>
  <si>
    <t>Результаты оценки индивидуальных достижений учащихся по математике</t>
  </si>
  <si>
    <t>Критериальный анализ заданий повышенного уровня</t>
  </si>
  <si>
    <t>ОУ</t>
  </si>
  <si>
    <t>№ критерия</t>
  </si>
  <si>
    <t>Кол-во учащихся выполнивших критерий</t>
  </si>
  <si>
    <t>Доля учащихся выполнивших критерий</t>
  </si>
  <si>
    <t>Кол-во учащихся не выполнивших критерий</t>
  </si>
  <si>
    <t>Доля учащихся не выполнивших критерий</t>
  </si>
  <si>
    <t>Не приступили к выполнению задания:</t>
  </si>
  <si>
    <t>1 октября</t>
  </si>
  <si>
    <t>ДА</t>
  </si>
  <si>
    <t>138066</t>
  </si>
  <si>
    <t>09</t>
  </si>
  <si>
    <t>97</t>
  </si>
  <si>
    <t>12</t>
  </si>
  <si>
    <t>02</t>
  </si>
  <si>
    <t>98</t>
  </si>
  <si>
    <t>04</t>
  </si>
  <si>
    <t>11</t>
  </si>
  <si>
    <t>07</t>
  </si>
  <si>
    <t>06</t>
  </si>
  <si>
    <t>03</t>
  </si>
  <si>
    <t>01</t>
  </si>
  <si>
    <t>05</t>
  </si>
  <si>
    <t>08</t>
  </si>
  <si>
    <t>0.5</t>
  </si>
  <si>
    <t>В</t>
  </si>
  <si>
    <t>АВ</t>
  </si>
  <si>
    <t>БВ</t>
  </si>
  <si>
    <t>БГ</t>
  </si>
  <si>
    <t>БВГ</t>
  </si>
  <si>
    <t>АГ</t>
  </si>
  <si>
    <t>А</t>
  </si>
  <si>
    <t>средняя</t>
  </si>
  <si>
    <t>Первая</t>
  </si>
  <si>
    <t>Колягин Ю.М.</t>
  </si>
  <si>
    <t>Кунденок  Е.А.</t>
  </si>
  <si>
    <t>Айткулова И.Л.</t>
  </si>
  <si>
    <t>учитель географии</t>
  </si>
  <si>
    <t xml:space="preserve">получились ответы, содержащие корни и обыкновенные дроби. Возник вопрос как записать ответ. </t>
  </si>
  <si>
    <t>задание № 15</t>
  </si>
  <si>
    <t>простое задание № 20 для второй части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</si>
</sst>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
    <numFmt numFmtId="166" formatCode="0.0"/>
    <numFmt numFmtId="167" formatCode="[$-FC19]dd\ mmmm\ yyyy\ \г\.;@"/>
  </numFmts>
  <fonts count="58" x14ac:knownFonts="1">
    <font>
      <sz val="10"/>
      <name val="Arial Cyr"/>
      <charset val="204"/>
    </font>
    <font>
      <sz val="10"/>
      <name val="Arial Cyr"/>
      <charset val="204"/>
    </font>
    <font>
      <b/>
      <sz val="11"/>
      <name val="Arial"/>
      <family val="2"/>
    </font>
    <font>
      <b/>
      <sz val="10"/>
      <name val="Arial"/>
      <family val="2"/>
    </font>
    <font>
      <b/>
      <sz val="12"/>
      <name val="Times New Roman"/>
      <family val="1"/>
    </font>
    <font>
      <b/>
      <sz val="10"/>
      <name val="Arial Cyr"/>
      <family val="2"/>
      <charset val="204"/>
    </font>
    <font>
      <b/>
      <sz val="12"/>
      <name val="Arial Cyr"/>
      <family val="2"/>
      <charset val="204"/>
    </font>
    <font>
      <b/>
      <sz val="10"/>
      <name val="Arial Cyr"/>
      <charset val="204"/>
    </font>
    <font>
      <b/>
      <i/>
      <sz val="12"/>
      <name val="Times New Roman"/>
      <family val="1"/>
    </font>
    <font>
      <b/>
      <sz val="11"/>
      <name val="Arial Cyr"/>
      <family val="2"/>
      <charset val="204"/>
    </font>
    <font>
      <sz val="10"/>
      <name val="Arial Cyr"/>
      <family val="2"/>
      <charset val="204"/>
    </font>
    <font>
      <sz val="11"/>
      <name val="Arial Cyr"/>
      <family val="2"/>
      <charset val="204"/>
    </font>
    <font>
      <sz val="12"/>
      <name val="Arial Cyr"/>
      <family val="2"/>
      <charset val="204"/>
    </font>
    <font>
      <b/>
      <sz val="16"/>
      <name val="Arial Cyr"/>
      <family val="2"/>
      <charset val="204"/>
    </font>
    <font>
      <sz val="16"/>
      <name val="Arial Cyr"/>
      <family val="2"/>
      <charset val="204"/>
    </font>
    <font>
      <i/>
      <sz val="9"/>
      <name val="Arial Cyr"/>
      <family val="2"/>
      <charset val="204"/>
    </font>
    <font>
      <sz val="11"/>
      <name val="Cambria"/>
      <family val="1"/>
      <charset val="204"/>
    </font>
    <font>
      <b/>
      <sz val="10"/>
      <name val="Cambria"/>
      <family val="1"/>
      <charset val="204"/>
    </font>
    <font>
      <b/>
      <u/>
      <sz val="10"/>
      <name val="Cambria"/>
      <family val="1"/>
      <charset val="204"/>
    </font>
    <font>
      <b/>
      <sz val="11"/>
      <name val="Arial Cyr"/>
      <charset val="204"/>
    </font>
    <font>
      <sz val="11"/>
      <name val="Arial Cyr"/>
      <charset val="204"/>
    </font>
    <font>
      <sz val="9"/>
      <color indexed="81"/>
      <name val="Tahoma"/>
      <family val="2"/>
      <charset val="204"/>
    </font>
    <font>
      <b/>
      <sz val="9"/>
      <color indexed="81"/>
      <name val="Tahoma"/>
      <family val="2"/>
      <charset val="204"/>
    </font>
    <font>
      <sz val="12"/>
      <name val="Times New Roman"/>
      <family val="1"/>
      <charset val="204"/>
    </font>
    <font>
      <sz val="8"/>
      <color indexed="81"/>
      <name val="Tahoma"/>
      <family val="2"/>
      <charset val="204"/>
    </font>
    <font>
      <b/>
      <sz val="8"/>
      <color indexed="81"/>
      <name val="Tahoma"/>
      <family val="2"/>
      <charset val="204"/>
    </font>
    <font>
      <sz val="10"/>
      <color theme="1"/>
      <name val="Cambria"/>
      <family val="1"/>
      <charset val="204"/>
      <scheme val="major"/>
    </font>
    <font>
      <b/>
      <i/>
      <sz val="12"/>
      <color theme="1"/>
      <name val="Cambria"/>
      <family val="1"/>
      <charset val="204"/>
      <scheme val="major"/>
    </font>
    <font>
      <sz val="10"/>
      <name val="Cambria"/>
      <family val="1"/>
      <charset val="204"/>
      <scheme val="major"/>
    </font>
    <font>
      <b/>
      <sz val="11"/>
      <name val="Cambria"/>
      <family val="1"/>
      <charset val="204"/>
      <scheme val="major"/>
    </font>
    <font>
      <sz val="2"/>
      <name val="Cambria"/>
      <family val="1"/>
      <charset val="204"/>
      <scheme val="major"/>
    </font>
    <font>
      <b/>
      <sz val="10"/>
      <name val="Cambria"/>
      <family val="1"/>
      <charset val="204"/>
      <scheme val="major"/>
    </font>
    <font>
      <b/>
      <sz val="14"/>
      <name val="Cambria"/>
      <family val="1"/>
      <charset val="204"/>
      <scheme val="major"/>
    </font>
    <font>
      <b/>
      <sz val="12"/>
      <name val="Cambria"/>
      <family val="1"/>
      <charset val="204"/>
      <scheme val="major"/>
    </font>
    <font>
      <b/>
      <sz val="8"/>
      <name val="Cambria"/>
      <family val="1"/>
      <charset val="204"/>
      <scheme val="major"/>
    </font>
    <font>
      <sz val="8"/>
      <name val="Cambria"/>
      <family val="1"/>
      <charset val="204"/>
      <scheme val="major"/>
    </font>
    <font>
      <b/>
      <i/>
      <sz val="11"/>
      <color theme="1"/>
      <name val="Cambria"/>
      <family val="1"/>
      <charset val="204"/>
      <scheme val="major"/>
    </font>
    <font>
      <sz val="11"/>
      <name val="Cambria"/>
      <family val="1"/>
      <charset val="204"/>
      <scheme val="major"/>
    </font>
    <font>
      <sz val="11"/>
      <color theme="1"/>
      <name val="Cambria"/>
      <family val="1"/>
      <charset val="204"/>
      <scheme val="major"/>
    </font>
    <font>
      <sz val="12"/>
      <color theme="1"/>
      <name val="Times New Roman"/>
      <family val="1"/>
      <charset val="204"/>
    </font>
    <font>
      <sz val="10"/>
      <color theme="0"/>
      <name val="Arial Cyr"/>
      <charset val="204"/>
    </font>
    <font>
      <sz val="12"/>
      <name val="Cambria"/>
      <family val="1"/>
      <charset val="204"/>
      <scheme val="major"/>
    </font>
    <font>
      <b/>
      <i/>
      <sz val="14"/>
      <color theme="1"/>
      <name val="Cambria"/>
      <family val="1"/>
      <charset val="204"/>
      <scheme val="major"/>
    </font>
    <font>
      <sz val="10"/>
      <color rgb="FFFF0000"/>
      <name val="Arial Cyr"/>
      <charset val="204"/>
    </font>
    <font>
      <b/>
      <sz val="10"/>
      <color rgb="FFFF0000"/>
      <name val="Cambria"/>
      <family val="1"/>
      <charset val="204"/>
      <scheme val="major"/>
    </font>
    <font>
      <sz val="10"/>
      <color rgb="FFFF0000"/>
      <name val="Cambria"/>
      <family val="1"/>
      <charset val="204"/>
      <scheme val="major"/>
    </font>
    <font>
      <b/>
      <sz val="10"/>
      <color rgb="FFFF0000"/>
      <name val="Arial Cyr"/>
      <charset val="204"/>
    </font>
    <font>
      <b/>
      <sz val="10"/>
      <color theme="1"/>
      <name val="Cambria"/>
      <family val="1"/>
      <charset val="204"/>
      <scheme val="major"/>
    </font>
    <font>
      <b/>
      <i/>
      <sz val="10"/>
      <color theme="1"/>
      <name val="Arial Cyr"/>
      <charset val="204"/>
    </font>
    <font>
      <sz val="10"/>
      <color theme="1"/>
      <name val="Arial Cyr"/>
      <family val="2"/>
      <charset val="204"/>
    </font>
    <font>
      <sz val="12"/>
      <name val="Arial Cyr"/>
      <charset val="204"/>
    </font>
    <font>
      <sz val="14"/>
      <name val="Arial Cyr"/>
      <charset val="204"/>
    </font>
    <font>
      <b/>
      <i/>
      <sz val="10"/>
      <name val="Arial Cyr"/>
      <charset val="204"/>
    </font>
    <font>
      <b/>
      <i/>
      <sz val="11"/>
      <name val="Arial Cyr"/>
      <charset val="204"/>
    </font>
    <font>
      <b/>
      <sz val="12"/>
      <name val="Arial Cyr"/>
      <charset val="204"/>
    </font>
    <font>
      <sz val="10"/>
      <color theme="0"/>
      <name val="Cambria"/>
      <family val="1"/>
      <charset val="204"/>
      <scheme val="major"/>
    </font>
    <font>
      <b/>
      <sz val="8"/>
      <color theme="0"/>
      <name val="Cambria"/>
      <family val="1"/>
      <charset val="204"/>
      <scheme val="major"/>
    </font>
    <font>
      <b/>
      <sz val="10"/>
      <color theme="0"/>
      <name val="Cambria"/>
      <family val="1"/>
      <charset val="204"/>
      <scheme val="major"/>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7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s>
  <cellStyleXfs count="3">
    <xf numFmtId="0" fontId="0" fillId="0" borderId="0"/>
    <xf numFmtId="0" fontId="10" fillId="0" borderId="0"/>
    <xf numFmtId="9" fontId="1" fillId="0" borderId="0" applyFont="0" applyFill="0" applyBorder="0" applyAlignment="0" applyProtection="0"/>
  </cellStyleXfs>
  <cellXfs count="676">
    <xf numFmtId="0" fontId="0" fillId="0" borderId="0" xfId="0"/>
    <xf numFmtId="0" fontId="0" fillId="0" borderId="0" xfId="0" applyProtection="1">
      <protection hidden="1"/>
    </xf>
    <xf numFmtId="0" fontId="0" fillId="0" borderId="0" xfId="0" applyFill="1" applyBorder="1" applyAlignment="1" applyProtection="1">
      <protection hidden="1"/>
    </xf>
    <xf numFmtId="0" fontId="0" fillId="0" borderId="0" xfId="0" applyAlignment="1" applyProtection="1">
      <alignment wrapText="1"/>
      <protection hidden="1"/>
    </xf>
    <xf numFmtId="0" fontId="0" fillId="0" borderId="0" xfId="0" applyBorder="1" applyProtection="1">
      <protection hidden="1"/>
    </xf>
    <xf numFmtId="49" fontId="0" fillId="0" borderId="0" xfId="0" applyNumberFormat="1" applyProtection="1">
      <protection hidden="1"/>
    </xf>
    <xf numFmtId="0" fontId="0" fillId="2" borderId="0" xfId="0" applyFill="1" applyProtection="1">
      <protection hidden="1"/>
    </xf>
    <xf numFmtId="0" fontId="0" fillId="2" borderId="0" xfId="0" applyFill="1" applyAlignment="1" applyProtection="1">
      <alignment wrapText="1"/>
      <protection hidden="1"/>
    </xf>
    <xf numFmtId="0" fontId="3" fillId="0" borderId="0" xfId="0" applyFont="1" applyFill="1" applyBorder="1" applyAlignment="1" applyProtection="1">
      <alignment horizontal="left" wrapText="1"/>
      <protection hidden="1"/>
    </xf>
    <xf numFmtId="0" fontId="8" fillId="0" borderId="0" xfId="0" applyFont="1"/>
    <xf numFmtId="0" fontId="7" fillId="0" borderId="1" xfId="0" applyFont="1" applyBorder="1" applyProtection="1">
      <protection hidden="1"/>
    </xf>
    <xf numFmtId="0" fontId="7" fillId="0" borderId="2" xfId="0" applyFont="1" applyBorder="1" applyProtection="1">
      <protection hidden="1"/>
    </xf>
    <xf numFmtId="0" fontId="0" fillId="0" borderId="2" xfId="0" applyBorder="1" applyProtection="1">
      <protection hidden="1"/>
    </xf>
    <xf numFmtId="0" fontId="2" fillId="0" borderId="0" xfId="0" applyFont="1" applyFill="1" applyBorder="1" applyAlignment="1" applyProtection="1">
      <alignment horizontal="right" wrapText="1"/>
      <protection hidden="1"/>
    </xf>
    <xf numFmtId="0" fontId="0" fillId="0" borderId="0" xfId="0" applyProtection="1">
      <protection locked="0" hidden="1"/>
    </xf>
    <xf numFmtId="0" fontId="0" fillId="0" borderId="0" xfId="0" applyBorder="1" applyAlignment="1" applyProtection="1">
      <alignment horizontal="left" wrapText="1"/>
      <protection locked="0"/>
    </xf>
    <xf numFmtId="0" fontId="0" fillId="2" borderId="0" xfId="0" applyFill="1" applyBorder="1" applyAlignment="1"/>
    <xf numFmtId="0" fontId="0" fillId="0" borderId="0" xfId="0" applyBorder="1" applyAlignment="1">
      <alignment horizontal="left" wrapText="1"/>
    </xf>
    <xf numFmtId="0" fontId="9" fillId="2" borderId="0" xfId="0" applyFont="1" applyFill="1" applyAlignment="1">
      <alignment horizontal="right"/>
    </xf>
    <xf numFmtId="0" fontId="4" fillId="2" borderId="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2" borderId="0" xfId="0" applyFill="1"/>
    <xf numFmtId="0" fontId="5" fillId="2" borderId="0" xfId="0" applyFont="1" applyFill="1"/>
    <xf numFmtId="0" fontId="5" fillId="2" borderId="2" xfId="0" applyFont="1" applyFill="1" applyBorder="1"/>
    <xf numFmtId="0" fontId="0" fillId="2" borderId="0" xfId="0" applyFill="1" applyBorder="1" applyAlignment="1">
      <alignment horizontal="center"/>
    </xf>
    <xf numFmtId="0" fontId="0" fillId="2" borderId="0" xfId="0" applyFill="1" applyBorder="1"/>
    <xf numFmtId="0" fontId="0" fillId="2" borderId="4" xfId="0" applyFill="1" applyBorder="1"/>
    <xf numFmtId="0" fontId="5" fillId="3" borderId="2" xfId="0" applyFont="1" applyFill="1" applyBorder="1"/>
    <xf numFmtId="49" fontId="0" fillId="3" borderId="0" xfId="0" applyNumberFormat="1" applyFill="1" applyBorder="1" applyAlignment="1">
      <alignment horizontal="center"/>
    </xf>
    <xf numFmtId="0" fontId="0" fillId="3" borderId="0" xfId="0" applyFill="1" applyBorder="1"/>
    <xf numFmtId="0" fontId="0" fillId="3" borderId="4" xfId="0" applyFill="1" applyBorder="1"/>
    <xf numFmtId="0" fontId="0" fillId="2" borderId="0" xfId="0" applyFill="1" applyBorder="1" applyAlignment="1" applyProtection="1">
      <alignment horizontal="center"/>
      <protection locked="0"/>
    </xf>
    <xf numFmtId="0" fontId="0" fillId="2" borderId="0" xfId="0" applyFill="1" applyBorder="1" applyAlignment="1" applyProtection="1">
      <protection locked="0"/>
    </xf>
    <xf numFmtId="0" fontId="0" fillId="0" borderId="0" xfId="0" applyBorder="1"/>
    <xf numFmtId="0" fontId="0" fillId="2" borderId="0" xfId="0" applyFill="1" applyBorder="1" applyAlignment="1">
      <alignment horizontal="center" vertical="center"/>
    </xf>
    <xf numFmtId="0" fontId="0" fillId="2" borderId="4" xfId="0" applyFill="1" applyBorder="1" applyAlignment="1"/>
    <xf numFmtId="0" fontId="0" fillId="0" borderId="0" xfId="0" applyBorder="1" applyAlignment="1"/>
    <xf numFmtId="0" fontId="0" fillId="0" borderId="0" xfId="0" applyAlignment="1"/>
    <xf numFmtId="0" fontId="5" fillId="0" borderId="0" xfId="0" applyFont="1"/>
    <xf numFmtId="0" fontId="5" fillId="2" borderId="2" xfId="0" applyFont="1" applyFill="1" applyBorder="1" applyAlignment="1">
      <alignment horizontal="right"/>
    </xf>
    <xf numFmtId="0" fontId="5" fillId="2" borderId="0" xfId="0" applyFont="1" applyFill="1" applyBorder="1"/>
    <xf numFmtId="0" fontId="5" fillId="2" borderId="2" xfId="0" applyFont="1" applyFill="1" applyBorder="1" applyAlignment="1">
      <alignment wrapText="1"/>
    </xf>
    <xf numFmtId="0" fontId="0" fillId="2" borderId="0" xfId="0" applyFill="1" applyAlignment="1"/>
    <xf numFmtId="0" fontId="0" fillId="2" borderId="3" xfId="0" applyFill="1" applyBorder="1" applyAlignment="1" applyProtection="1">
      <alignment horizontal="center"/>
      <protection locked="0"/>
    </xf>
    <xf numFmtId="0" fontId="5" fillId="2" borderId="0" xfId="0" applyFont="1" applyFill="1" applyAlignment="1">
      <alignment horizontal="right" vertical="center"/>
    </xf>
    <xf numFmtId="0" fontId="15" fillId="2" borderId="0" xfId="0" applyFont="1" applyFill="1" applyBorder="1"/>
    <xf numFmtId="49" fontId="0" fillId="2" borderId="0" xfId="0" applyNumberFormat="1" applyFill="1" applyBorder="1" applyAlignment="1">
      <alignment horizontal="center"/>
    </xf>
    <xf numFmtId="0" fontId="5" fillId="3" borderId="5" xfId="0" applyFont="1" applyFill="1" applyBorder="1"/>
    <xf numFmtId="49" fontId="0" fillId="3" borderId="6" xfId="0" applyNumberFormat="1" applyFill="1" applyBorder="1" applyAlignment="1">
      <alignment horizontal="center"/>
    </xf>
    <xf numFmtId="0" fontId="0" fillId="3" borderId="6" xfId="0" applyFill="1" applyBorder="1"/>
    <xf numFmtId="0" fontId="0" fillId="3" borderId="7" xfId="0" applyFill="1" applyBorder="1"/>
    <xf numFmtId="0" fontId="10" fillId="0" borderId="0" xfId="1"/>
    <xf numFmtId="165" fontId="26" fillId="0" borderId="8" xfId="1" applyNumberFormat="1" applyFont="1" applyBorder="1" applyAlignment="1">
      <alignment horizontal="center" vertical="center"/>
    </xf>
    <xf numFmtId="0" fontId="27" fillId="0" borderId="0" xfId="1" applyFont="1" applyBorder="1" applyAlignment="1">
      <alignment horizontal="center"/>
    </xf>
    <xf numFmtId="0" fontId="0" fillId="0" borderId="0" xfId="0" applyAlignment="1" applyProtection="1">
      <alignment horizontal="center" vertical="center"/>
      <protection hidden="1"/>
    </xf>
    <xf numFmtId="0" fontId="9" fillId="2" borderId="0" xfId="0" applyFont="1" applyFill="1" applyBorder="1" applyAlignment="1">
      <alignment horizontal="right"/>
    </xf>
    <xf numFmtId="165" fontId="0" fillId="0" borderId="0" xfId="2" applyNumberFormat="1" applyFont="1"/>
    <xf numFmtId="0" fontId="28" fillId="0" borderId="0" xfId="0" applyFont="1" applyBorder="1" applyProtection="1">
      <protection hidden="1"/>
    </xf>
    <xf numFmtId="0" fontId="28" fillId="0" borderId="0" xfId="0" applyFont="1" applyBorder="1" applyAlignment="1" applyProtection="1">
      <alignment horizontal="center" vertical="center"/>
      <protection hidden="1"/>
    </xf>
    <xf numFmtId="0" fontId="29" fillId="0" borderId="0" xfId="0" applyFont="1" applyFill="1" applyBorder="1" applyAlignment="1" applyProtection="1">
      <alignment horizontal="right" vertical="center" wrapText="1"/>
    </xf>
    <xf numFmtId="49" fontId="29" fillId="0" borderId="3" xfId="0" applyNumberFormat="1" applyFont="1" applyFill="1" applyBorder="1" applyAlignment="1" applyProtection="1">
      <alignment horizontal="center" vertical="center" wrapText="1"/>
      <protection locked="0"/>
    </xf>
    <xf numFmtId="0" fontId="28" fillId="0" borderId="0" xfId="0" applyFont="1" applyProtection="1">
      <protection hidden="1"/>
    </xf>
    <xf numFmtId="0" fontId="30" fillId="0" borderId="0" xfId="0" applyFont="1" applyFill="1" applyBorder="1" applyAlignment="1" applyProtection="1">
      <alignment horizontal="center" vertical="center"/>
      <protection hidden="1"/>
    </xf>
    <xf numFmtId="0" fontId="28" fillId="0" borderId="0" xfId="0" applyFont="1" applyFill="1" applyBorder="1" applyAlignment="1" applyProtection="1">
      <protection hidden="1"/>
    </xf>
    <xf numFmtId="0" fontId="31" fillId="0" borderId="0"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left" wrapText="1"/>
      <protection hidden="1"/>
    </xf>
    <xf numFmtId="0" fontId="32" fillId="0" borderId="0" xfId="0" applyFont="1" applyBorder="1" applyProtection="1">
      <protection hidden="1"/>
    </xf>
    <xf numFmtId="0" fontId="32" fillId="0" borderId="0" xfId="0" applyFont="1" applyBorder="1" applyAlignment="1" applyProtection="1">
      <alignment horizontal="center" vertical="center"/>
      <protection hidden="1"/>
    </xf>
    <xf numFmtId="0" fontId="31" fillId="0" borderId="0" xfId="0" applyFont="1" applyFill="1" applyBorder="1" applyAlignment="1" applyProtection="1">
      <alignment horizontal="right"/>
      <protection hidden="1"/>
    </xf>
    <xf numFmtId="0" fontId="28" fillId="0" borderId="0" xfId="0" applyFont="1" applyFill="1" applyBorder="1" applyAlignment="1" applyProtection="1">
      <alignment horizontal="center"/>
      <protection locked="0" hidden="1"/>
    </xf>
    <xf numFmtId="49" fontId="33" fillId="0" borderId="9" xfId="0" applyNumberFormat="1" applyFont="1" applyFill="1" applyBorder="1" applyAlignment="1" applyProtection="1">
      <alignment horizontal="center"/>
      <protection hidden="1"/>
    </xf>
    <xf numFmtId="49" fontId="33" fillId="0" borderId="0" xfId="0" applyNumberFormat="1" applyFont="1" applyFill="1" applyBorder="1" applyAlignment="1" applyProtection="1">
      <alignment horizontal="center" vertical="center"/>
      <protection hidden="1"/>
    </xf>
    <xf numFmtId="49" fontId="33" fillId="0" borderId="10" xfId="0" applyNumberFormat="1" applyFont="1" applyFill="1" applyBorder="1" applyAlignment="1" applyProtection="1">
      <alignment horizontal="center"/>
      <protection hidden="1"/>
    </xf>
    <xf numFmtId="49" fontId="33" fillId="0" borderId="11" xfId="0" applyNumberFormat="1" applyFont="1" applyFill="1" applyBorder="1" applyAlignment="1" applyProtection="1">
      <alignment horizontal="center"/>
      <protection hidden="1"/>
    </xf>
    <xf numFmtId="49" fontId="33" fillId="0" borderId="8" xfId="0" applyNumberFormat="1" applyFont="1" applyFill="1" applyBorder="1" applyAlignment="1" applyProtection="1">
      <alignment horizontal="center"/>
      <protection locked="0" hidden="1"/>
    </xf>
    <xf numFmtId="0" fontId="28" fillId="4" borderId="12" xfId="0" applyFont="1" applyFill="1" applyBorder="1" applyAlignment="1" applyProtection="1">
      <alignment horizontal="center" vertical="center"/>
      <protection hidden="1"/>
    </xf>
    <xf numFmtId="0" fontId="28" fillId="4" borderId="13" xfId="0" applyFont="1" applyFill="1" applyBorder="1" applyAlignment="1" applyProtection="1">
      <alignment horizontal="center" vertical="center"/>
      <protection hidden="1"/>
    </xf>
    <xf numFmtId="0" fontId="28" fillId="4" borderId="13" xfId="0" applyFont="1" applyFill="1" applyBorder="1" applyAlignment="1" applyProtection="1">
      <alignment horizontal="center" vertical="center" wrapText="1"/>
      <protection hidden="1"/>
    </xf>
    <xf numFmtId="0" fontId="28" fillId="4" borderId="14" xfId="0" applyFont="1" applyFill="1" applyBorder="1" applyAlignment="1" applyProtection="1">
      <alignment horizontal="center" vertical="center"/>
      <protection hidden="1"/>
    </xf>
    <xf numFmtId="0" fontId="28" fillId="0" borderId="8" xfId="0" applyFont="1" applyBorder="1" applyAlignment="1" applyProtection="1">
      <alignment horizontal="center"/>
      <protection hidden="1"/>
    </xf>
    <xf numFmtId="0" fontId="28" fillId="0" borderId="8" xfId="0" applyFont="1" applyBorder="1" applyAlignment="1" applyProtection="1">
      <alignment horizontal="center" vertical="center"/>
      <protection locked="0" hidden="1"/>
    </xf>
    <xf numFmtId="0" fontId="28" fillId="0" borderId="8" xfId="0" applyNumberFormat="1" applyFont="1" applyBorder="1" applyProtection="1">
      <protection locked="0"/>
    </xf>
    <xf numFmtId="0" fontId="28" fillId="0" borderId="8" xfId="0" applyNumberFormat="1" applyFont="1" applyBorder="1" applyAlignment="1" applyProtection="1">
      <alignment horizontal="center"/>
      <protection hidden="1"/>
    </xf>
    <xf numFmtId="0" fontId="28" fillId="0" borderId="8" xfId="0" applyNumberFormat="1" applyFont="1" applyBorder="1" applyAlignment="1" applyProtection="1">
      <alignment horizontal="center"/>
      <protection locked="0"/>
    </xf>
    <xf numFmtId="49" fontId="28" fillId="0" borderId="8" xfId="0" applyNumberFormat="1" applyFont="1" applyBorder="1" applyAlignment="1" applyProtection="1">
      <alignment horizontal="center"/>
      <protection locked="0"/>
    </xf>
    <xf numFmtId="49" fontId="28" fillId="2" borderId="8" xfId="0" applyNumberFormat="1" applyFont="1" applyFill="1" applyBorder="1" applyAlignment="1" applyProtection="1">
      <alignment horizontal="center"/>
      <protection locked="0"/>
    </xf>
    <xf numFmtId="0" fontId="28" fillId="0" borderId="8" xfId="0" applyNumberFormat="1" applyFont="1" applyBorder="1" applyAlignment="1" applyProtection="1">
      <alignment horizontal="center" vertical="center"/>
      <protection locked="0"/>
    </xf>
    <xf numFmtId="0" fontId="28" fillId="2" borderId="0" xfId="0" applyFont="1" applyFill="1" applyProtection="1">
      <protection hidden="1"/>
    </xf>
    <xf numFmtId="0" fontId="28" fillId="2" borderId="0" xfId="0" applyFont="1" applyFill="1" applyAlignment="1" applyProtection="1">
      <protection hidden="1"/>
    </xf>
    <xf numFmtId="0" fontId="34" fillId="2" borderId="0" xfId="0" applyFont="1" applyFill="1" applyBorder="1" applyAlignment="1" applyProtection="1">
      <alignment horizontal="center" vertical="center" wrapText="1"/>
      <protection hidden="1"/>
    </xf>
    <xf numFmtId="0" fontId="30" fillId="2" borderId="0" xfId="0" applyFont="1" applyFill="1" applyBorder="1" applyAlignment="1" applyProtection="1">
      <protection hidden="1"/>
    </xf>
    <xf numFmtId="0" fontId="28" fillId="2" borderId="0" xfId="0" applyFont="1" applyFill="1" applyBorder="1" applyAlignment="1" applyProtection="1">
      <protection hidden="1"/>
    </xf>
    <xf numFmtId="0" fontId="28" fillId="2" borderId="0" xfId="0" applyFont="1" applyFill="1" applyAlignment="1" applyProtection="1">
      <alignment wrapText="1"/>
      <protection hidden="1"/>
    </xf>
    <xf numFmtId="0" fontId="28" fillId="2" borderId="0" xfId="0" applyFont="1" applyFill="1" applyBorder="1" applyAlignment="1" applyProtection="1">
      <alignment wrapText="1"/>
      <protection hidden="1"/>
    </xf>
    <xf numFmtId="0" fontId="31" fillId="2" borderId="0" xfId="0" applyFont="1" applyFill="1" applyBorder="1" applyAlignment="1" applyProtection="1">
      <alignment horizontal="left" wrapText="1"/>
      <protection hidden="1"/>
    </xf>
    <xf numFmtId="0" fontId="31" fillId="2" borderId="0" xfId="0" applyFont="1" applyFill="1" applyBorder="1" applyAlignment="1" applyProtection="1">
      <alignment horizontal="right"/>
      <protection hidden="1"/>
    </xf>
    <xf numFmtId="0" fontId="33" fillId="2" borderId="6" xfId="0" applyFont="1" applyFill="1" applyBorder="1" applyAlignment="1" applyProtection="1">
      <alignment horizontal="center"/>
      <protection hidden="1"/>
    </xf>
    <xf numFmtId="0" fontId="33" fillId="2" borderId="0" xfId="0" applyFont="1" applyFill="1" applyBorder="1" applyAlignment="1" applyProtection="1">
      <alignment horizontal="right"/>
      <protection hidden="1"/>
    </xf>
    <xf numFmtId="0" fontId="31" fillId="2" borderId="3" xfId="0" applyFont="1" applyFill="1" applyBorder="1" applyAlignment="1" applyProtection="1">
      <alignment horizontal="center" vertical="center"/>
      <protection locked="0" hidden="1"/>
    </xf>
    <xf numFmtId="0" fontId="35" fillId="2" borderId="0" xfId="0" applyFont="1" applyFill="1" applyBorder="1" applyAlignment="1" applyProtection="1">
      <protection hidden="1"/>
    </xf>
    <xf numFmtId="0" fontId="28" fillId="2" borderId="8" xfId="0" applyFont="1" applyFill="1" applyBorder="1" applyAlignment="1" applyProtection="1">
      <alignment horizontal="center"/>
      <protection hidden="1"/>
    </xf>
    <xf numFmtId="0" fontId="28" fillId="2" borderId="8" xfId="0" applyFont="1" applyFill="1" applyBorder="1" applyAlignment="1" applyProtection="1">
      <alignment vertical="center" wrapText="1"/>
      <protection hidden="1"/>
    </xf>
    <xf numFmtId="0" fontId="28" fillId="2" borderId="8" xfId="0" applyNumberFormat="1" applyFont="1" applyFill="1" applyBorder="1" applyAlignment="1" applyProtection="1">
      <alignment horizontal="center" vertical="center" wrapText="1"/>
      <protection locked="0" hidden="1"/>
    </xf>
    <xf numFmtId="0" fontId="27" fillId="0" borderId="0" xfId="1" applyFont="1" applyBorder="1" applyAlignment="1">
      <alignment horizontal="right" vertical="center"/>
    </xf>
    <xf numFmtId="1" fontId="36" fillId="0" borderId="0" xfId="1" applyNumberFormat="1" applyFont="1" applyBorder="1" applyAlignment="1">
      <alignment horizontal="left" vertical="center" wrapText="1"/>
    </xf>
    <xf numFmtId="0" fontId="28" fillId="0" borderId="0" xfId="0" applyFont="1" applyBorder="1" applyAlignment="1" applyProtection="1">
      <alignment wrapText="1"/>
      <protection locked="0"/>
    </xf>
    <xf numFmtId="0" fontId="28" fillId="2" borderId="0" xfId="0" applyFont="1" applyFill="1" applyBorder="1" applyProtection="1">
      <protection hidden="1"/>
    </xf>
    <xf numFmtId="0" fontId="33" fillId="0" borderId="0" xfId="0" applyFont="1" applyFill="1" applyBorder="1" applyAlignment="1" applyProtection="1">
      <protection hidden="1"/>
    </xf>
    <xf numFmtId="0" fontId="0" fillId="0" borderId="0" xfId="0" applyAlignment="1">
      <alignment horizontal="center" wrapText="1"/>
    </xf>
    <xf numFmtId="0" fontId="27" fillId="0" borderId="0" xfId="1" applyFont="1" applyAlignment="1">
      <alignment wrapText="1"/>
    </xf>
    <xf numFmtId="0" fontId="36" fillId="0" borderId="0" xfId="1" applyFont="1" applyBorder="1" applyAlignment="1">
      <alignment vertical="center" wrapText="1"/>
    </xf>
    <xf numFmtId="0" fontId="29" fillId="0" borderId="8" xfId="0" applyFont="1" applyBorder="1" applyAlignment="1">
      <alignment horizontal="center" vertical="center"/>
    </xf>
    <xf numFmtId="165" fontId="29" fillId="0" borderId="8" xfId="2" applyNumberFormat="1" applyFont="1" applyBorder="1" applyAlignment="1">
      <alignment horizontal="center" vertical="center"/>
    </xf>
    <xf numFmtId="165" fontId="0" fillId="0" borderId="0" xfId="0" applyNumberFormat="1"/>
    <xf numFmtId="0" fontId="37" fillId="0" borderId="0" xfId="0" applyFont="1"/>
    <xf numFmtId="0" fontId="37" fillId="0" borderId="0" xfId="0" applyFont="1" applyAlignment="1">
      <alignment horizontal="center" vertical="center" wrapText="1"/>
    </xf>
    <xf numFmtId="0" fontId="37" fillId="4" borderId="8" xfId="0" applyFont="1" applyFill="1" applyBorder="1" applyAlignment="1">
      <alignment horizontal="center" vertical="center" wrapText="1"/>
    </xf>
    <xf numFmtId="0" fontId="37" fillId="4" borderId="8" xfId="0" applyFont="1" applyFill="1" applyBorder="1"/>
    <xf numFmtId="0" fontId="27" fillId="0" borderId="0" xfId="1" applyFont="1" applyBorder="1" applyAlignment="1">
      <alignment horizontal="center" vertical="center"/>
    </xf>
    <xf numFmtId="0" fontId="36" fillId="0" borderId="0" xfId="1" applyFont="1" applyBorder="1" applyAlignment="1">
      <alignment vertical="center"/>
    </xf>
    <xf numFmtId="0" fontId="36" fillId="5" borderId="0" xfId="1" applyFont="1" applyFill="1" applyBorder="1" applyAlignment="1">
      <alignment vertical="center"/>
    </xf>
    <xf numFmtId="0" fontId="33" fillId="5" borderId="9" xfId="0" applyFont="1" applyFill="1" applyBorder="1" applyAlignment="1">
      <alignment horizontal="center"/>
    </xf>
    <xf numFmtId="0" fontId="0" fillId="5" borderId="0" xfId="0" applyFill="1"/>
    <xf numFmtId="0" fontId="33" fillId="5" borderId="0" xfId="0" applyFont="1" applyFill="1" applyBorder="1" applyAlignment="1" applyProtection="1">
      <alignment horizontal="center"/>
      <protection hidden="1"/>
    </xf>
    <xf numFmtId="0" fontId="33" fillId="5" borderId="0" xfId="0" applyFont="1" applyFill="1" applyAlignment="1">
      <alignment horizontal="center"/>
    </xf>
    <xf numFmtId="0" fontId="36" fillId="5" borderId="0" xfId="1" applyFont="1" applyFill="1" applyBorder="1" applyAlignment="1">
      <alignment vertical="center" wrapText="1"/>
    </xf>
    <xf numFmtId="0" fontId="27" fillId="5" borderId="0" xfId="1" applyFont="1" applyFill="1" applyBorder="1" applyAlignment="1">
      <alignment horizontal="left" vertical="center"/>
    </xf>
    <xf numFmtId="0" fontId="38" fillId="6" borderId="15" xfId="1" applyFont="1" applyFill="1" applyBorder="1" applyAlignment="1">
      <alignment horizontal="center" vertical="center" wrapText="1"/>
    </xf>
    <xf numFmtId="0" fontId="38" fillId="0" borderId="16" xfId="1" applyFont="1" applyBorder="1" applyAlignment="1">
      <alignment horizontal="center" vertical="center" wrapText="1"/>
    </xf>
    <xf numFmtId="0" fontId="37" fillId="0" borderId="8" xfId="0" applyFont="1" applyBorder="1" applyAlignment="1">
      <alignment horizontal="center" vertical="center"/>
    </xf>
    <xf numFmtId="166" fontId="0" fillId="0" borderId="0" xfId="0" applyNumberFormat="1"/>
    <xf numFmtId="0" fontId="36" fillId="0" borderId="0" xfId="1" applyFont="1" applyBorder="1" applyAlignment="1">
      <alignment horizontal="right" vertical="center" wrapText="1"/>
    </xf>
    <xf numFmtId="49" fontId="33" fillId="0" borderId="8" xfId="0" applyNumberFormat="1" applyFont="1" applyFill="1" applyBorder="1" applyAlignment="1" applyProtection="1">
      <alignment horizontal="center"/>
      <protection hidden="1"/>
    </xf>
    <xf numFmtId="0" fontId="28" fillId="2" borderId="16" xfId="0" applyNumberFormat="1" applyFont="1" applyFill="1" applyBorder="1" applyAlignment="1" applyProtection="1">
      <alignment horizontal="center" vertical="center" wrapText="1"/>
      <protection locked="0" hidden="1"/>
    </xf>
    <xf numFmtId="0" fontId="28" fillId="2" borderId="19" xfId="0" applyFont="1" applyFill="1" applyBorder="1" applyAlignment="1" applyProtection="1">
      <alignment vertical="center" wrapText="1"/>
      <protection hidden="1"/>
    </xf>
    <xf numFmtId="0" fontId="28" fillId="2" borderId="20" xfId="0" applyNumberFormat="1" applyFont="1" applyFill="1" applyBorder="1" applyAlignment="1" applyProtection="1">
      <alignment horizontal="center" vertical="center" wrapText="1"/>
      <protection locked="0" hidden="1"/>
    </xf>
    <xf numFmtId="0" fontId="28" fillId="4" borderId="24"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0" fillId="2" borderId="0" xfId="0" applyFont="1" applyFill="1" applyProtection="1">
      <protection hidden="1"/>
    </xf>
    <xf numFmtId="0" fontId="19" fillId="2" borderId="0" xfId="0" applyFont="1" applyFill="1" applyAlignment="1" applyProtection="1">
      <alignment horizontal="left"/>
      <protection hidden="1"/>
    </xf>
    <xf numFmtId="0" fontId="28" fillId="2" borderId="26" xfId="0" applyNumberFormat="1" applyFont="1" applyFill="1" applyBorder="1" applyAlignment="1" applyProtection="1">
      <alignment horizontal="center" vertical="center" wrapText="1"/>
      <protection locked="0" hidden="1"/>
    </xf>
    <xf numFmtId="0" fontId="28" fillId="2" borderId="27" xfId="0" applyNumberFormat="1" applyFont="1" applyFill="1" applyBorder="1" applyAlignment="1" applyProtection="1">
      <alignment horizontal="center" vertical="center" wrapText="1"/>
      <protection locked="0" hidden="1"/>
    </xf>
    <xf numFmtId="0" fontId="28" fillId="2" borderId="29" xfId="0" applyNumberFormat="1" applyFont="1" applyFill="1" applyBorder="1" applyAlignment="1" applyProtection="1">
      <alignment horizontal="center" vertical="center" wrapText="1"/>
      <protection locked="0" hidden="1"/>
    </xf>
    <xf numFmtId="0" fontId="28" fillId="2" borderId="19" xfId="0" applyNumberFormat="1" applyFont="1" applyFill="1" applyBorder="1" applyAlignment="1" applyProtection="1">
      <alignment horizontal="center" vertical="center" wrapText="1"/>
      <protection locked="0" hidden="1"/>
    </xf>
    <xf numFmtId="0" fontId="28" fillId="2" borderId="30" xfId="0" applyNumberFormat="1" applyFont="1" applyFill="1" applyBorder="1" applyAlignment="1" applyProtection="1">
      <alignment horizontal="center" vertical="center" wrapText="1"/>
      <protection locked="0" hidden="1"/>
    </xf>
    <xf numFmtId="0" fontId="31" fillId="4" borderId="24"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0" fillId="0" borderId="1" xfId="0" applyBorder="1" applyProtection="1">
      <protection hidden="1"/>
    </xf>
    <xf numFmtId="0" fontId="28" fillId="2" borderId="33" xfId="0" applyFont="1" applyFill="1" applyBorder="1" applyAlignment="1" applyProtection="1">
      <alignment horizontal="center"/>
      <protection hidden="1"/>
    </xf>
    <xf numFmtId="0" fontId="28" fillId="2" borderId="33" xfId="0" applyFont="1" applyFill="1" applyBorder="1" applyAlignment="1" applyProtection="1">
      <alignment vertical="center" wrapText="1"/>
      <protection hidden="1"/>
    </xf>
    <xf numFmtId="0" fontId="28" fillId="2" borderId="33" xfId="0" applyNumberFormat="1" applyFont="1" applyFill="1" applyBorder="1" applyAlignment="1" applyProtection="1">
      <alignment horizontal="center" vertical="center" wrapText="1"/>
      <protection locked="0" hidden="1"/>
    </xf>
    <xf numFmtId="0" fontId="0" fillId="0" borderId="5" xfId="0" applyBorder="1" applyProtection="1">
      <protection hidden="1"/>
    </xf>
    <xf numFmtId="0" fontId="28" fillId="2" borderId="20" xfId="0" applyFont="1" applyFill="1" applyBorder="1" applyAlignment="1" applyProtection="1">
      <alignment horizontal="center"/>
      <protection hidden="1"/>
    </xf>
    <xf numFmtId="0" fontId="28" fillId="2" borderId="20" xfId="0" applyFont="1" applyFill="1" applyBorder="1" applyAlignment="1" applyProtection="1">
      <alignment vertical="center" wrapText="1"/>
      <protection hidden="1"/>
    </xf>
    <xf numFmtId="0" fontId="28" fillId="2" borderId="29" xfId="0" applyFont="1" applyFill="1" applyBorder="1" applyAlignment="1" applyProtection="1">
      <alignment vertical="center" wrapText="1"/>
      <protection hidden="1"/>
    </xf>
    <xf numFmtId="0" fontId="28" fillId="2" borderId="30" xfId="0" applyFont="1" applyFill="1" applyBorder="1" applyAlignment="1" applyProtection="1">
      <alignment vertical="center" wrapText="1"/>
      <protection hidden="1"/>
    </xf>
    <xf numFmtId="0" fontId="5" fillId="5" borderId="0" xfId="0" applyFont="1" applyFill="1"/>
    <xf numFmtId="0" fontId="26" fillId="0" borderId="8" xfId="1" applyFont="1" applyBorder="1" applyAlignment="1">
      <alignment horizontal="center" vertical="center"/>
    </xf>
    <xf numFmtId="0" fontId="27" fillId="0" borderId="0" xfId="1" applyFont="1" applyBorder="1" applyAlignment="1">
      <alignment horizontal="center"/>
    </xf>
    <xf numFmtId="0" fontId="37" fillId="4" borderId="8" xfId="0" applyFont="1" applyFill="1" applyBorder="1" applyAlignment="1">
      <alignment horizontal="center" vertical="center" wrapText="1"/>
    </xf>
    <xf numFmtId="0" fontId="26" fillId="0" borderId="11" xfId="1" applyFont="1" applyBorder="1" applyAlignment="1">
      <alignment horizontal="center" vertical="center"/>
    </xf>
    <xf numFmtId="0" fontId="26" fillId="0" borderId="33" xfId="1" applyFont="1" applyBorder="1" applyAlignment="1">
      <alignment horizontal="center" vertical="center"/>
    </xf>
    <xf numFmtId="165" fontId="26" fillId="0" borderId="33" xfId="1" applyNumberFormat="1" applyFont="1" applyBorder="1" applyAlignment="1">
      <alignment horizontal="center" vertical="center"/>
    </xf>
    <xf numFmtId="165" fontId="26" fillId="0" borderId="27" xfId="1" applyNumberFormat="1" applyFont="1" applyBorder="1" applyAlignment="1">
      <alignment horizontal="center" vertical="center"/>
    </xf>
    <xf numFmtId="165" fontId="26" fillId="0" borderId="15" xfId="1" applyNumberFormat="1" applyFont="1" applyBorder="1" applyAlignment="1">
      <alignment horizontal="center" vertical="center"/>
    </xf>
    <xf numFmtId="0" fontId="26" fillId="4" borderId="18" xfId="1" applyFont="1" applyFill="1" applyBorder="1" applyAlignment="1">
      <alignment horizontal="center" vertical="center" wrapText="1"/>
    </xf>
    <xf numFmtId="0" fontId="36" fillId="0" borderId="0" xfId="1" applyFont="1" applyBorder="1" applyAlignment="1">
      <alignment horizontal="right" vertical="center" wrapText="1"/>
    </xf>
    <xf numFmtId="1" fontId="36" fillId="0" borderId="0" xfId="1" applyNumberFormat="1" applyFont="1" applyBorder="1" applyAlignment="1">
      <alignment horizontal="left" vertical="center" wrapText="1"/>
    </xf>
    <xf numFmtId="0" fontId="36" fillId="0" borderId="0" xfId="1" applyFont="1" applyBorder="1" applyAlignment="1">
      <alignment horizontal="center" vertical="center" wrapText="1"/>
    </xf>
    <xf numFmtId="166" fontId="29" fillId="0" borderId="8" xfId="0" applyNumberFormat="1" applyFont="1" applyBorder="1" applyAlignment="1">
      <alignment horizontal="center" vertical="center"/>
    </xf>
    <xf numFmtId="166" fontId="29" fillId="0" borderId="8" xfId="2" applyNumberFormat="1" applyFont="1" applyBorder="1" applyAlignment="1">
      <alignment horizontal="center" vertical="center"/>
    </xf>
    <xf numFmtId="1" fontId="29" fillId="0" borderId="8" xfId="2" applyNumberFormat="1" applyFont="1" applyBorder="1" applyAlignment="1">
      <alignment horizontal="center" vertical="center"/>
    </xf>
    <xf numFmtId="1" fontId="29" fillId="0" borderId="14" xfId="2" applyNumberFormat="1" applyFont="1" applyBorder="1" applyAlignment="1">
      <alignment horizontal="center" vertical="center"/>
    </xf>
    <xf numFmtId="0" fontId="40" fillId="0" borderId="0" xfId="0" applyFont="1"/>
    <xf numFmtId="1" fontId="29" fillId="0" borderId="8" xfId="0" applyNumberFormat="1" applyFont="1" applyBorder="1" applyAlignment="1">
      <alignment horizontal="center" vertical="center"/>
    </xf>
    <xf numFmtId="0" fontId="0" fillId="5" borderId="0" xfId="0" applyFont="1" applyFill="1" applyBorder="1"/>
    <xf numFmtId="0" fontId="0" fillId="5" borderId="0" xfId="0" applyFill="1" applyBorder="1"/>
    <xf numFmtId="0" fontId="7" fillId="5" borderId="0" xfId="0" applyFont="1" applyFill="1" applyBorder="1" applyAlignment="1">
      <alignment horizontal="center"/>
    </xf>
    <xf numFmtId="0" fontId="36" fillId="0" borderId="9" xfId="1" applyFont="1" applyBorder="1" applyAlignment="1">
      <alignment horizontal="center" vertical="center" wrapText="1"/>
    </xf>
    <xf numFmtId="0" fontId="41" fillId="5" borderId="8" xfId="1" applyFont="1" applyFill="1" applyBorder="1" applyAlignment="1">
      <alignment horizontal="center" vertical="center" wrapText="1"/>
    </xf>
    <xf numFmtId="0" fontId="41" fillId="5" borderId="8" xfId="1" applyFont="1" applyFill="1" applyBorder="1" applyAlignment="1">
      <alignment horizontal="center" vertical="center"/>
    </xf>
    <xf numFmtId="1" fontId="41" fillId="5" borderId="8" xfId="1" applyNumberFormat="1" applyFont="1" applyFill="1" applyBorder="1" applyAlignment="1">
      <alignment horizontal="center" vertical="center"/>
    </xf>
    <xf numFmtId="1" fontId="41" fillId="5" borderId="8" xfId="1" applyNumberFormat="1" applyFont="1" applyFill="1" applyBorder="1" applyAlignment="1">
      <alignment vertical="center"/>
    </xf>
    <xf numFmtId="0" fontId="41" fillId="5" borderId="8" xfId="0" applyFont="1" applyFill="1" applyBorder="1" applyAlignment="1">
      <alignment horizontal="center"/>
    </xf>
    <xf numFmtId="1" fontId="41" fillId="5" borderId="8" xfId="2" applyNumberFormat="1" applyFont="1" applyFill="1" applyBorder="1" applyAlignment="1">
      <alignment horizontal="center"/>
    </xf>
    <xf numFmtId="166" fontId="41" fillId="5" borderId="8" xfId="2" applyNumberFormat="1" applyFont="1" applyFill="1" applyBorder="1" applyAlignment="1">
      <alignment horizontal="center"/>
    </xf>
    <xf numFmtId="0" fontId="41" fillId="5" borderId="8" xfId="1" applyFont="1" applyFill="1" applyBorder="1" applyAlignment="1">
      <alignment horizontal="center"/>
    </xf>
    <xf numFmtId="0" fontId="38" fillId="8" borderId="36" xfId="1" applyFont="1" applyFill="1" applyBorder="1" applyAlignment="1">
      <alignment horizontal="center" vertical="center"/>
    </xf>
    <xf numFmtId="0" fontId="38" fillId="0" borderId="11" xfId="1" applyFont="1" applyBorder="1" applyAlignment="1">
      <alignment horizontal="center" vertical="center" wrapText="1"/>
    </xf>
    <xf numFmtId="0" fontId="23" fillId="8" borderId="8" xfId="0" applyFont="1" applyFill="1" applyBorder="1" applyAlignment="1">
      <alignment vertical="center" wrapText="1"/>
    </xf>
    <xf numFmtId="0" fontId="38" fillId="6" borderId="8" xfId="1" applyFont="1" applyFill="1" applyBorder="1" applyAlignment="1">
      <alignment horizontal="center" vertical="center" wrapText="1"/>
    </xf>
    <xf numFmtId="0" fontId="27" fillId="5" borderId="0" xfId="1" applyFont="1" applyFill="1" applyBorder="1" applyAlignment="1">
      <alignment horizontal="center"/>
    </xf>
    <xf numFmtId="0" fontId="0" fillId="5" borderId="8" xfId="0" applyFill="1" applyBorder="1" applyAlignment="1">
      <alignment wrapText="1"/>
    </xf>
    <xf numFmtId="0" fontId="0" fillId="5" borderId="8" xfId="0" applyFill="1" applyBorder="1" applyAlignment="1">
      <alignment horizontal="center" vertical="center"/>
    </xf>
    <xf numFmtId="166" fontId="0" fillId="5" borderId="8" xfId="0" applyNumberFormat="1" applyFill="1" applyBorder="1" applyAlignment="1">
      <alignment horizontal="center" vertical="center"/>
    </xf>
    <xf numFmtId="0" fontId="42" fillId="0" borderId="0" xfId="1" applyFont="1" applyAlignment="1">
      <alignment wrapText="1"/>
    </xf>
    <xf numFmtId="0" fontId="27" fillId="0" borderId="0" xfId="1" applyFont="1" applyAlignment="1">
      <alignment vertical="center" wrapText="1"/>
    </xf>
    <xf numFmtId="0" fontId="38" fillId="0" borderId="8" xfId="1" applyFont="1" applyFill="1" applyBorder="1" applyAlignment="1">
      <alignment horizontal="center" vertical="center" wrapText="1"/>
    </xf>
    <xf numFmtId="10" fontId="38" fillId="0" borderId="8" xfId="2" applyNumberFormat="1" applyFont="1" applyBorder="1" applyAlignment="1">
      <alignment horizontal="center" vertical="center" wrapText="1"/>
    </xf>
    <xf numFmtId="10" fontId="0" fillId="0" borderId="0" xfId="0" applyNumberFormat="1"/>
    <xf numFmtId="165" fontId="38" fillId="0" borderId="8" xfId="2" applyNumberFormat="1" applyFont="1" applyBorder="1" applyAlignment="1">
      <alignment horizontal="center" vertical="center" wrapText="1"/>
    </xf>
    <xf numFmtId="165" fontId="38" fillId="0" borderId="15" xfId="2" applyNumberFormat="1" applyFont="1" applyBorder="1" applyAlignment="1">
      <alignment horizontal="center" vertical="center" wrapText="1"/>
    </xf>
    <xf numFmtId="0" fontId="38" fillId="6" borderId="20" xfId="1" applyFont="1" applyFill="1" applyBorder="1" applyAlignment="1">
      <alignment horizontal="center" vertical="center" wrapText="1"/>
    </xf>
    <xf numFmtId="0" fontId="38" fillId="6" borderId="18" xfId="1" applyFont="1" applyFill="1" applyBorder="1" applyAlignment="1">
      <alignment horizontal="center" vertical="center" wrapText="1"/>
    </xf>
    <xf numFmtId="0" fontId="38" fillId="4" borderId="20" xfId="1" applyFont="1" applyFill="1" applyBorder="1" applyAlignment="1">
      <alignment horizontal="center" vertical="center" wrapText="1"/>
    </xf>
    <xf numFmtId="0" fontId="38" fillId="4" borderId="18" xfId="1" applyFont="1" applyFill="1" applyBorder="1" applyAlignment="1">
      <alignment horizontal="center" vertical="center" wrapText="1"/>
    </xf>
    <xf numFmtId="0" fontId="38" fillId="0" borderId="26" xfId="1" applyFont="1" applyBorder="1" applyAlignment="1">
      <alignment horizontal="center" vertical="center" wrapText="1"/>
    </xf>
    <xf numFmtId="0" fontId="37" fillId="0" borderId="33" xfId="0" applyFont="1" applyBorder="1" applyAlignment="1">
      <alignment horizontal="center" vertical="center"/>
    </xf>
    <xf numFmtId="0" fontId="36" fillId="0" borderId="0" xfId="1" applyFont="1" applyBorder="1" applyAlignment="1">
      <alignment horizontal="left" vertical="center" wrapText="1"/>
    </xf>
    <xf numFmtId="0" fontId="36" fillId="0" borderId="0" xfId="1" applyFont="1" applyBorder="1" applyAlignment="1">
      <alignment horizontal="right" vertical="center" wrapText="1"/>
    </xf>
    <xf numFmtId="0" fontId="10" fillId="0" borderId="8" xfId="1" applyBorder="1" applyAlignment="1">
      <alignment horizontal="center" vertical="center"/>
    </xf>
    <xf numFmtId="0" fontId="36" fillId="0" borderId="0" xfId="1" applyNumberFormat="1" applyFont="1" applyBorder="1" applyAlignment="1">
      <alignment vertical="center" wrapText="1"/>
    </xf>
    <xf numFmtId="49" fontId="7" fillId="0" borderId="0" xfId="1" applyNumberFormat="1" applyFont="1" applyAlignment="1">
      <alignment vertical="center"/>
    </xf>
    <xf numFmtId="165" fontId="26" fillId="0" borderId="33" xfId="2" applyNumberFormat="1" applyFont="1" applyBorder="1" applyAlignment="1">
      <alignment horizontal="center" vertical="center"/>
    </xf>
    <xf numFmtId="0" fontId="43" fillId="0" borderId="0" xfId="0" applyFont="1"/>
    <xf numFmtId="0" fontId="44" fillId="9" borderId="8" xfId="0" applyFont="1" applyFill="1" applyBorder="1" applyAlignment="1" applyProtection="1">
      <alignment horizontal="center" vertical="center" wrapText="1"/>
      <protection hidden="1"/>
    </xf>
    <xf numFmtId="0" fontId="44" fillId="9" borderId="8" xfId="0" applyFont="1" applyFill="1" applyBorder="1" applyAlignment="1" applyProtection="1">
      <alignment horizontal="center" vertical="center" textRotation="90"/>
      <protection hidden="1"/>
    </xf>
    <xf numFmtId="0" fontId="44" fillId="9" borderId="19" xfId="0" applyFont="1" applyFill="1" applyBorder="1" applyAlignment="1" applyProtection="1">
      <alignment horizontal="center" vertical="center"/>
      <protection hidden="1"/>
    </xf>
    <xf numFmtId="0" fontId="45" fillId="9" borderId="16" xfId="0" applyFont="1" applyFill="1" applyBorder="1" applyAlignment="1">
      <alignment horizontal="center" vertical="center" wrapText="1"/>
    </xf>
    <xf numFmtId="0" fontId="43" fillId="7" borderId="41" xfId="0" applyNumberFormat="1" applyFont="1" applyFill="1" applyBorder="1" applyAlignment="1" applyProtection="1">
      <alignment horizontal="center"/>
      <protection hidden="1"/>
    </xf>
    <xf numFmtId="0" fontId="44" fillId="9" borderId="12" xfId="0" applyFont="1" applyFill="1" applyBorder="1" applyAlignment="1"/>
    <xf numFmtId="0" fontId="44" fillId="9" borderId="12" xfId="0" applyFont="1" applyFill="1" applyBorder="1" applyAlignment="1">
      <alignment horizontal="center" textRotation="90"/>
    </xf>
    <xf numFmtId="0" fontId="44" fillId="9" borderId="37" xfId="0" applyFont="1" applyFill="1" applyBorder="1" applyAlignment="1">
      <alignment horizontal="center"/>
    </xf>
    <xf numFmtId="0" fontId="45" fillId="9" borderId="38" xfId="0" applyFont="1" applyFill="1" applyBorder="1" applyAlignment="1">
      <alignment horizontal="center" vertical="center" wrapText="1"/>
    </xf>
    <xf numFmtId="49" fontId="43" fillId="0" borderId="0" xfId="0" applyNumberFormat="1" applyFont="1" applyProtection="1">
      <protection hidden="1"/>
    </xf>
    <xf numFmtId="0" fontId="43" fillId="0" borderId="0" xfId="0" applyFont="1" applyBorder="1" applyProtection="1">
      <protection hidden="1"/>
    </xf>
    <xf numFmtId="0" fontId="43" fillId="0" borderId="0" xfId="0" applyFont="1" applyProtection="1">
      <protection hidden="1"/>
    </xf>
    <xf numFmtId="0" fontId="43" fillId="0" borderId="0" xfId="0" applyFont="1" applyAlignment="1" applyProtection="1">
      <alignment wrapText="1"/>
      <protection hidden="1"/>
    </xf>
    <xf numFmtId="0" fontId="33" fillId="5" borderId="0" xfId="0" applyFont="1" applyFill="1" applyBorder="1" applyAlignment="1" applyProtection="1">
      <alignment horizontal="center"/>
      <protection hidden="1"/>
    </xf>
    <xf numFmtId="0" fontId="10" fillId="5" borderId="0" xfId="1" applyFill="1" applyBorder="1"/>
    <xf numFmtId="0" fontId="31" fillId="7" borderId="8" xfId="0" applyFont="1" applyFill="1" applyBorder="1" applyAlignment="1">
      <alignment horizontal="center" vertical="center" wrapText="1"/>
    </xf>
    <xf numFmtId="0" fontId="0" fillId="7" borderId="8" xfId="0" applyFill="1" applyBorder="1" applyAlignment="1">
      <alignment horizontal="center" vertical="center" wrapText="1"/>
    </xf>
    <xf numFmtId="0" fontId="27" fillId="5" borderId="0" xfId="1" applyFont="1" applyFill="1" applyAlignment="1">
      <alignment vertical="center" wrapText="1"/>
    </xf>
    <xf numFmtId="0" fontId="27" fillId="5" borderId="0" xfId="1" applyFont="1" applyFill="1" applyBorder="1" applyAlignment="1">
      <alignment horizontal="right" vertical="center"/>
    </xf>
    <xf numFmtId="0" fontId="41" fillId="5" borderId="8" xfId="0" applyFont="1" applyFill="1" applyBorder="1"/>
    <xf numFmtId="1" fontId="0" fillId="5" borderId="0" xfId="0" applyNumberFormat="1" applyFill="1"/>
    <xf numFmtId="1" fontId="36" fillId="5" borderId="9" xfId="1" applyNumberFormat="1" applyFont="1" applyFill="1" applyBorder="1" applyAlignment="1">
      <alignment horizontal="left" vertical="center" wrapText="1"/>
    </xf>
    <xf numFmtId="0" fontId="36" fillId="5" borderId="0" xfId="1" applyFont="1" applyFill="1" applyBorder="1" applyAlignment="1">
      <alignment horizontal="right" vertical="center" wrapText="1"/>
    </xf>
    <xf numFmtId="1" fontId="36" fillId="5" borderId="9" xfId="1" applyNumberFormat="1" applyFont="1" applyFill="1" applyBorder="1" applyAlignment="1">
      <alignment horizontal="center" vertical="center" wrapText="1"/>
    </xf>
    <xf numFmtId="0" fontId="29" fillId="0" borderId="3" xfId="0" applyFont="1" applyBorder="1" applyAlignment="1" applyProtection="1">
      <alignment horizontal="center" vertical="center" wrapText="1"/>
      <protection locked="0" hidden="1"/>
    </xf>
    <xf numFmtId="0" fontId="31" fillId="4" borderId="13" xfId="0" applyFont="1" applyFill="1" applyBorder="1" applyAlignment="1" applyProtection="1">
      <alignment horizontal="center" vertical="center" wrapText="1"/>
      <protection hidden="1"/>
    </xf>
    <xf numFmtId="0" fontId="28" fillId="0" borderId="8" xfId="0" applyFont="1" applyFill="1" applyBorder="1" applyAlignment="1" applyProtection="1">
      <alignment horizontal="center" vertical="center" wrapText="1"/>
      <protection hidden="1"/>
    </xf>
    <xf numFmtId="0" fontId="28" fillId="0" borderId="14" xfId="0" applyFont="1" applyFill="1" applyBorder="1" applyAlignment="1" applyProtection="1">
      <alignment horizontal="center" vertical="center" textRotation="90" wrapText="1"/>
      <protection hidden="1"/>
    </xf>
    <xf numFmtId="0" fontId="28" fillId="0" borderId="8" xfId="0" applyFont="1" applyFill="1" applyBorder="1" applyAlignment="1" applyProtection="1">
      <alignment horizontal="center" vertical="center"/>
      <protection hidden="1"/>
    </xf>
    <xf numFmtId="0" fontId="28" fillId="0" borderId="14" xfId="0" applyFont="1" applyFill="1" applyBorder="1" applyAlignment="1" applyProtection="1">
      <alignment horizontal="center" vertical="center"/>
      <protection hidden="1"/>
    </xf>
    <xf numFmtId="0" fontId="28" fillId="0" borderId="14" xfId="0" applyFont="1" applyFill="1" applyBorder="1" applyAlignment="1" applyProtection="1">
      <alignment horizontal="center" wrapText="1"/>
      <protection hidden="1"/>
    </xf>
    <xf numFmtId="0" fontId="28" fillId="0" borderId="43" xfId="0" applyFont="1" applyFill="1" applyBorder="1" applyAlignment="1" applyProtection="1">
      <alignment horizontal="center" vertical="center"/>
      <protection hidden="1"/>
    </xf>
    <xf numFmtId="0" fontId="28" fillId="0" borderId="39" xfId="0" applyFont="1" applyFill="1" applyBorder="1" applyAlignment="1" applyProtection="1">
      <alignment horizontal="center" vertical="center"/>
      <protection hidden="1"/>
    </xf>
    <xf numFmtId="0" fontId="28" fillId="0" borderId="14" xfId="0" applyFont="1" applyFill="1" applyBorder="1" applyAlignment="1">
      <alignment horizontal="center" vertical="center" wrapText="1"/>
    </xf>
    <xf numFmtId="0" fontId="28" fillId="0" borderId="14" xfId="0" applyFont="1" applyFill="1" applyBorder="1" applyAlignment="1" applyProtection="1">
      <alignment horizontal="center" vertical="center" wrapText="1"/>
      <protection locked="0" hidden="1"/>
    </xf>
    <xf numFmtId="0" fontId="31" fillId="0" borderId="13" xfId="0" applyFont="1" applyFill="1" applyBorder="1" applyAlignment="1" applyProtection="1">
      <alignment horizontal="center" vertical="center" textRotation="90"/>
      <protection hidden="1"/>
    </xf>
    <xf numFmtId="0" fontId="31" fillId="0" borderId="44" xfId="0" applyFont="1" applyFill="1" applyBorder="1" applyAlignment="1" applyProtection="1">
      <alignment horizontal="center" vertical="center"/>
      <protection hidden="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1" fontId="28" fillId="2" borderId="8" xfId="0" applyNumberFormat="1" applyFont="1" applyFill="1" applyBorder="1" applyAlignment="1" applyProtection="1">
      <alignment horizontal="center"/>
      <protection locked="0"/>
    </xf>
    <xf numFmtId="1" fontId="28" fillId="0" borderId="8" xfId="0" applyNumberFormat="1" applyFont="1" applyBorder="1" applyAlignment="1" applyProtection="1">
      <alignment horizontal="center"/>
      <protection locked="0"/>
    </xf>
    <xf numFmtId="0" fontId="44" fillId="9" borderId="14" xfId="0" applyFont="1" applyFill="1" applyBorder="1" applyAlignment="1" applyProtection="1">
      <alignment horizontal="center" vertical="center" wrapText="1"/>
      <protection hidden="1"/>
    </xf>
    <xf numFmtId="0" fontId="44" fillId="9" borderId="14" xfId="0" applyFont="1" applyFill="1" applyBorder="1" applyAlignment="1" applyProtection="1">
      <alignment horizontal="center" vertical="center" textRotation="90"/>
      <protection hidden="1"/>
    </xf>
    <xf numFmtId="0" fontId="44" fillId="9" borderId="43" xfId="0" applyFont="1" applyFill="1" applyBorder="1" applyAlignment="1" applyProtection="1">
      <alignment horizontal="center" vertical="center"/>
      <protection hidden="1"/>
    </xf>
    <xf numFmtId="0" fontId="31" fillId="0" borderId="8" xfId="0" applyFont="1" applyFill="1" applyBorder="1" applyAlignment="1" applyProtection="1">
      <alignment horizontal="center" vertical="center" wrapText="1"/>
      <protection hidden="1"/>
    </xf>
    <xf numFmtId="0" fontId="31" fillId="0" borderId="8" xfId="0" applyFont="1" applyFill="1" applyBorder="1" applyAlignment="1" applyProtection="1">
      <alignment horizontal="center" vertical="center" textRotation="90"/>
      <protection hidden="1"/>
    </xf>
    <xf numFmtId="0" fontId="31" fillId="0" borderId="8" xfId="0" applyFont="1" applyFill="1" applyBorder="1" applyAlignment="1" applyProtection="1">
      <alignment horizontal="center" vertical="center"/>
      <protection hidden="1"/>
    </xf>
    <xf numFmtId="0" fontId="31" fillId="0" borderId="8"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40" fillId="5" borderId="0" xfId="0" applyFont="1" applyFill="1" applyBorder="1" applyProtection="1">
      <protection hidden="1"/>
    </xf>
    <xf numFmtId="0" fontId="31" fillId="0" borderId="15" xfId="0" applyFont="1" applyFill="1" applyBorder="1" applyAlignment="1" applyProtection="1">
      <alignment horizontal="center" vertical="center" wrapText="1"/>
      <protection hidden="1"/>
    </xf>
    <xf numFmtId="0" fontId="28" fillId="0" borderId="37" xfId="0" applyFont="1" applyFill="1" applyBorder="1" applyAlignment="1">
      <alignment horizontal="center" vertical="center" wrapText="1"/>
    </xf>
    <xf numFmtId="0" fontId="28" fillId="0" borderId="49" xfId="0" applyFont="1" applyFill="1" applyBorder="1" applyAlignment="1">
      <alignment horizontal="center" vertical="center" wrapText="1"/>
    </xf>
    <xf numFmtId="0" fontId="0" fillId="2" borderId="0" xfId="0" applyFill="1" applyBorder="1" applyProtection="1">
      <protection hidden="1"/>
    </xf>
    <xf numFmtId="0" fontId="31" fillId="4" borderId="63" xfId="0" applyFont="1" applyFill="1" applyBorder="1" applyAlignment="1">
      <alignment horizontal="center" vertical="center" wrapText="1"/>
    </xf>
    <xf numFmtId="0" fontId="28" fillId="4" borderId="63"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0" fillId="2" borderId="0" xfId="0" applyFont="1" applyFill="1" applyBorder="1" applyProtection="1">
      <protection hidden="1"/>
    </xf>
    <xf numFmtId="0" fontId="28" fillId="2" borderId="40" xfId="0" applyFont="1" applyFill="1" applyBorder="1" applyAlignment="1" applyProtection="1">
      <alignment vertical="center" wrapText="1"/>
      <protection hidden="1"/>
    </xf>
    <xf numFmtId="0" fontId="28" fillId="2" borderId="10" xfId="0" applyFont="1" applyFill="1" applyBorder="1" applyAlignment="1" applyProtection="1">
      <alignment vertical="center" wrapText="1"/>
      <protection hidden="1"/>
    </xf>
    <xf numFmtId="0" fontId="28" fillId="2" borderId="58" xfId="0" applyFont="1" applyFill="1" applyBorder="1" applyAlignment="1" applyProtection="1">
      <alignment vertical="center" wrapText="1"/>
      <protection hidden="1"/>
    </xf>
    <xf numFmtId="0" fontId="28" fillId="2" borderId="67" xfId="0" applyFont="1" applyFill="1" applyBorder="1" applyAlignment="1" applyProtection="1">
      <alignment vertical="center" wrapText="1"/>
      <protection hidden="1"/>
    </xf>
    <xf numFmtId="0" fontId="28" fillId="2" borderId="65" xfId="0" applyFont="1" applyFill="1" applyBorder="1" applyAlignment="1" applyProtection="1">
      <alignment vertical="center" wrapText="1"/>
      <protection hidden="1"/>
    </xf>
    <xf numFmtId="0" fontId="28" fillId="2" borderId="68" xfId="0" applyFont="1" applyFill="1" applyBorder="1" applyAlignment="1" applyProtection="1">
      <alignment vertical="center" wrapText="1"/>
      <protection hidden="1"/>
    </xf>
    <xf numFmtId="0" fontId="28" fillId="2" borderId="58" xfId="0" applyFont="1" applyFill="1" applyBorder="1" applyAlignment="1" applyProtection="1">
      <alignment horizontal="center"/>
      <protection hidden="1"/>
    </xf>
    <xf numFmtId="0" fontId="28" fillId="2" borderId="10" xfId="0" applyFont="1" applyFill="1" applyBorder="1" applyAlignment="1" applyProtection="1">
      <alignment horizontal="center"/>
      <protection hidden="1"/>
    </xf>
    <xf numFmtId="0" fontId="28" fillId="2" borderId="67" xfId="0" applyFont="1" applyFill="1" applyBorder="1" applyAlignment="1" applyProtection="1">
      <alignment horizontal="center"/>
      <protection hidden="1"/>
    </xf>
    <xf numFmtId="0" fontId="0" fillId="0" borderId="64" xfId="0" applyBorder="1" applyProtection="1">
      <protection hidden="1"/>
    </xf>
    <xf numFmtId="0" fontId="0" fillId="0" borderId="66" xfId="0" applyBorder="1" applyProtection="1">
      <protection hidden="1"/>
    </xf>
    <xf numFmtId="0" fontId="0" fillId="0" borderId="69" xfId="0" applyBorder="1" applyProtection="1">
      <protection hidden="1"/>
    </xf>
    <xf numFmtId="0" fontId="28" fillId="2" borderId="15" xfId="0" applyNumberFormat="1" applyFont="1" applyFill="1" applyBorder="1" applyAlignment="1" applyProtection="1">
      <alignment horizontal="center" vertical="center" wrapText="1"/>
      <protection locked="0" hidden="1"/>
    </xf>
    <xf numFmtId="0" fontId="28" fillId="2" borderId="18" xfId="0" applyNumberFormat="1" applyFont="1" applyFill="1" applyBorder="1" applyAlignment="1" applyProtection="1">
      <alignment horizontal="center" vertical="center" wrapText="1"/>
      <protection locked="0" hidden="1"/>
    </xf>
    <xf numFmtId="0" fontId="28" fillId="2" borderId="0" xfId="0" applyFont="1" applyFill="1" applyBorder="1" applyAlignment="1" applyProtection="1">
      <alignment horizontal="center" wrapText="1"/>
      <protection hidden="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10" fillId="0" borderId="0" xfId="1" applyBorder="1"/>
    <xf numFmtId="0" fontId="39" fillId="0" borderId="70" xfId="1" applyFont="1" applyBorder="1" applyAlignment="1">
      <alignment horizontal="center" vertical="center"/>
    </xf>
    <xf numFmtId="0" fontId="39" fillId="0" borderId="36" xfId="1" applyFont="1" applyBorder="1" applyAlignment="1">
      <alignment horizontal="center" vertical="center"/>
    </xf>
    <xf numFmtId="0" fontId="39" fillId="0" borderId="8" xfId="1" applyFont="1" applyBorder="1" applyAlignment="1">
      <alignment horizontal="center" vertical="center"/>
    </xf>
    <xf numFmtId="0" fontId="37" fillId="4" borderId="8" xfId="0" applyFont="1" applyFill="1" applyBorder="1" applyAlignment="1">
      <alignment horizontal="center" vertical="center" wrapText="1"/>
    </xf>
    <xf numFmtId="0" fontId="42" fillId="5" borderId="0" xfId="1" applyFont="1" applyFill="1" applyBorder="1" applyAlignment="1">
      <alignment horizontal="center" wrapText="1"/>
    </xf>
    <xf numFmtId="0" fontId="37" fillId="2" borderId="0" xfId="0" applyFont="1" applyFill="1" applyBorder="1" applyAlignment="1" applyProtection="1">
      <alignment wrapText="1"/>
      <protection hidden="1"/>
    </xf>
    <xf numFmtId="0" fontId="43" fillId="7" borderId="15" xfId="0" applyNumberFormat="1" applyFont="1" applyFill="1" applyBorder="1" applyAlignment="1" applyProtection="1">
      <alignment horizontal="center"/>
      <protection hidden="1"/>
    </xf>
    <xf numFmtId="0" fontId="33" fillId="5" borderId="0" xfId="0" applyFont="1" applyFill="1" applyBorder="1" applyAlignment="1">
      <alignment horizontal="center"/>
    </xf>
    <xf numFmtId="165" fontId="37" fillId="0" borderId="14" xfId="2" applyNumberFormat="1" applyFont="1" applyBorder="1" applyAlignment="1">
      <alignment horizontal="center" vertical="center"/>
    </xf>
    <xf numFmtId="0" fontId="31" fillId="0" borderId="11" xfId="0" applyFont="1" applyFill="1" applyBorder="1" applyAlignment="1" applyProtection="1">
      <alignment horizontal="center" vertical="center" wrapText="1"/>
      <protection hidden="1"/>
    </xf>
    <xf numFmtId="0" fontId="43" fillId="7" borderId="39" xfId="0" applyFont="1" applyFill="1" applyBorder="1" applyProtection="1">
      <protection hidden="1"/>
    </xf>
    <xf numFmtId="0" fontId="43" fillId="7" borderId="11" xfId="0" applyFont="1" applyFill="1" applyBorder="1" applyProtection="1">
      <protection hidden="1"/>
    </xf>
    <xf numFmtId="0" fontId="31" fillId="0" borderId="40" xfId="0" applyFont="1" applyFill="1" applyBorder="1" applyAlignment="1" applyProtection="1">
      <alignment horizontal="center" vertical="center" wrapText="1"/>
      <protection hidden="1"/>
    </xf>
    <xf numFmtId="0" fontId="43" fillId="7" borderId="45" xfId="0" applyFont="1" applyFill="1" applyBorder="1" applyProtection="1">
      <protection hidden="1"/>
    </xf>
    <xf numFmtId="0" fontId="43" fillId="7" borderId="40" xfId="0" applyFont="1" applyFill="1" applyBorder="1" applyProtection="1">
      <protection hidden="1"/>
    </xf>
    <xf numFmtId="0" fontId="31" fillId="0" borderId="10" xfId="0" applyFont="1" applyFill="1" applyBorder="1" applyAlignment="1" applyProtection="1">
      <alignment horizontal="center" vertical="center" wrapText="1"/>
      <protection hidden="1"/>
    </xf>
    <xf numFmtId="0" fontId="43" fillId="7" borderId="9" xfId="0" applyFont="1" applyFill="1" applyBorder="1" applyProtection="1">
      <protection hidden="1"/>
    </xf>
    <xf numFmtId="0" fontId="43" fillId="7" borderId="10" xfId="0" applyFont="1" applyFill="1" applyBorder="1" applyProtection="1">
      <protection hidden="1"/>
    </xf>
    <xf numFmtId="0" fontId="31" fillId="0" borderId="10" xfId="0" applyFont="1" applyFill="1" applyBorder="1" applyAlignment="1" applyProtection="1">
      <alignment horizontal="center" vertical="center" textRotation="90" wrapText="1"/>
      <protection hidden="1"/>
    </xf>
    <xf numFmtId="0" fontId="44" fillId="7" borderId="9" xfId="0" applyFont="1" applyFill="1" applyBorder="1" applyAlignment="1" applyProtection="1">
      <alignment horizontal="center" vertical="center" wrapText="1"/>
      <protection hidden="1"/>
    </xf>
    <xf numFmtId="0" fontId="44" fillId="7" borderId="10" xfId="0" applyFont="1" applyFill="1" applyBorder="1" applyAlignment="1" applyProtection="1">
      <alignment horizontal="center" vertical="center" wrapText="1"/>
      <protection hidden="1"/>
    </xf>
    <xf numFmtId="0" fontId="38" fillId="0" borderId="31" xfId="1" applyFont="1" applyBorder="1" applyAlignment="1">
      <alignment horizontal="center" vertical="center" wrapText="1"/>
    </xf>
    <xf numFmtId="0" fontId="26" fillId="0" borderId="12" xfId="1" applyFont="1" applyBorder="1" applyAlignment="1">
      <alignment horizontal="center" vertical="center"/>
    </xf>
    <xf numFmtId="0" fontId="39" fillId="0" borderId="71" xfId="1" applyFont="1" applyBorder="1" applyAlignment="1">
      <alignment horizontal="center" vertical="center"/>
    </xf>
    <xf numFmtId="0" fontId="26" fillId="4" borderId="20" xfId="1" applyFont="1" applyFill="1" applyBorder="1" applyAlignment="1">
      <alignment horizontal="center" vertical="center" wrapText="1"/>
    </xf>
    <xf numFmtId="0" fontId="5" fillId="0" borderId="2" xfId="0" applyFont="1" applyBorder="1"/>
    <xf numFmtId="0" fontId="28" fillId="2" borderId="17" xfId="0" applyNumberFormat="1" applyFont="1" applyFill="1" applyBorder="1" applyAlignment="1" applyProtection="1">
      <alignment horizontal="center" vertical="center" wrapText="1"/>
      <protection locked="0" hidden="1"/>
    </xf>
    <xf numFmtId="165" fontId="44" fillId="7" borderId="0" xfId="0" applyNumberFormat="1" applyFont="1" applyFill="1" applyBorder="1" applyAlignment="1" applyProtection="1">
      <alignment horizontal="center" vertical="center" wrapText="1"/>
      <protection hidden="1"/>
    </xf>
    <xf numFmtId="0" fontId="46" fillId="7" borderId="42" xfId="0" applyFont="1" applyFill="1" applyBorder="1" applyAlignment="1" applyProtection="1">
      <alignment horizontal="center" vertical="center"/>
      <protection hidden="1"/>
    </xf>
    <xf numFmtId="166" fontId="46" fillId="7" borderId="53" xfId="0" applyNumberFormat="1" applyFont="1" applyFill="1" applyBorder="1" applyAlignment="1" applyProtection="1">
      <alignment horizontal="center" vertical="center"/>
      <protection hidden="1"/>
    </xf>
    <xf numFmtId="9" fontId="31" fillId="7" borderId="8" xfId="0" applyNumberFormat="1" applyFont="1" applyFill="1" applyBorder="1" applyAlignment="1" applyProtection="1">
      <alignment horizontal="center" vertical="center" wrapText="1"/>
      <protection hidden="1"/>
    </xf>
    <xf numFmtId="0" fontId="7" fillId="7" borderId="8" xfId="0" applyFont="1" applyFill="1" applyBorder="1" applyAlignment="1" applyProtection="1">
      <alignment horizontal="center"/>
      <protection hidden="1"/>
    </xf>
    <xf numFmtId="1" fontId="7" fillId="7" borderId="8" xfId="0" applyNumberFormat="1" applyFont="1" applyFill="1" applyBorder="1" applyAlignment="1" applyProtection="1">
      <alignment horizontal="center"/>
      <protection hidden="1"/>
    </xf>
    <xf numFmtId="166" fontId="7" fillId="7" borderId="8" xfId="2" applyNumberFormat="1" applyFont="1" applyFill="1" applyBorder="1" applyAlignment="1" applyProtection="1">
      <alignment horizontal="center"/>
      <protection hidden="1"/>
    </xf>
    <xf numFmtId="0" fontId="44" fillId="7" borderId="73" xfId="0" applyFont="1" applyFill="1" applyBorder="1" applyAlignment="1" applyProtection="1">
      <alignment horizontal="center" vertical="center" wrapText="1"/>
      <protection hidden="1"/>
    </xf>
    <xf numFmtId="0" fontId="44" fillId="7" borderId="59" xfId="0" applyFont="1" applyFill="1" applyBorder="1" applyAlignment="1" applyProtection="1">
      <alignment horizontal="center" vertical="center" wrapText="1"/>
      <protection hidden="1"/>
    </xf>
    <xf numFmtId="0" fontId="44" fillId="7" borderId="62" xfId="0" applyFont="1" applyFill="1" applyBorder="1" applyAlignment="1" applyProtection="1">
      <alignment horizontal="center" vertical="center"/>
      <protection hidden="1"/>
    </xf>
    <xf numFmtId="0" fontId="45" fillId="9" borderId="8" xfId="0" applyFont="1" applyFill="1" applyBorder="1" applyAlignment="1">
      <alignment horizontal="center" vertical="center" wrapText="1"/>
    </xf>
    <xf numFmtId="0" fontId="47" fillId="9" borderId="8"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1" fillId="0" borderId="19" xfId="0" applyFont="1" applyFill="1" applyBorder="1" applyAlignment="1" applyProtection="1">
      <alignment horizontal="center" vertical="center" textRotation="90"/>
      <protection hidden="1"/>
    </xf>
    <xf numFmtId="0" fontId="31" fillId="0" borderId="59" xfId="0" applyFont="1" applyFill="1" applyBorder="1" applyAlignment="1" applyProtection="1">
      <alignment horizontal="center" vertical="center" textRotation="90" wrapText="1"/>
      <protection hidden="1"/>
    </xf>
    <xf numFmtId="0" fontId="31" fillId="0" borderId="16" xfId="0" applyFont="1" applyFill="1" applyBorder="1" applyAlignment="1">
      <alignment horizontal="center" vertical="center" wrapText="1"/>
    </xf>
    <xf numFmtId="0" fontId="31" fillId="0" borderId="15" xfId="0" applyFont="1" applyFill="1" applyBorder="1" applyAlignment="1">
      <alignment horizontal="center" vertical="center" wrapText="1"/>
    </xf>
    <xf numFmtId="166" fontId="44" fillId="7" borderId="59" xfId="0" applyNumberFormat="1" applyFont="1" applyFill="1" applyBorder="1" applyAlignment="1" applyProtection="1">
      <alignment horizontal="center" vertical="center" wrapText="1"/>
      <protection hidden="1"/>
    </xf>
    <xf numFmtId="2" fontId="46" fillId="7" borderId="49" xfId="0" applyNumberFormat="1" applyFont="1" applyFill="1" applyBorder="1" applyAlignment="1" applyProtection="1">
      <alignment horizontal="center" vertical="center"/>
      <protection hidden="1"/>
    </xf>
    <xf numFmtId="0" fontId="26" fillId="0" borderId="12" xfId="1" applyFont="1" applyBorder="1" applyAlignment="1">
      <alignment horizontal="left" vertical="center" wrapText="1"/>
    </xf>
    <xf numFmtId="0" fontId="26" fillId="0" borderId="8" xfId="1" applyFont="1" applyBorder="1" applyAlignment="1">
      <alignment horizontal="left" vertical="center" wrapText="1"/>
    </xf>
    <xf numFmtId="49" fontId="36" fillId="5" borderId="0" xfId="1" applyNumberFormat="1" applyFont="1" applyFill="1" applyBorder="1" applyAlignment="1">
      <alignment vertical="center" wrapText="1"/>
    </xf>
    <xf numFmtId="0" fontId="10" fillId="5" borderId="0" xfId="1" applyFill="1"/>
    <xf numFmtId="0" fontId="36" fillId="5" borderId="0" xfId="1" applyFont="1" applyFill="1" applyBorder="1" applyAlignment="1">
      <alignment horizontal="left" vertical="center" wrapText="1"/>
    </xf>
    <xf numFmtId="166" fontId="36" fillId="5" borderId="0" xfId="1" applyNumberFormat="1" applyFont="1" applyFill="1" applyBorder="1" applyAlignment="1">
      <alignment horizontal="left" vertical="center" wrapText="1"/>
    </xf>
    <xf numFmtId="166" fontId="36" fillId="5" borderId="0" xfId="1" applyNumberFormat="1" applyFont="1" applyFill="1" applyBorder="1" applyAlignment="1">
      <alignment horizontal="right" vertical="center" wrapText="1"/>
    </xf>
    <xf numFmtId="0" fontId="26" fillId="0" borderId="12" xfId="1" applyFont="1" applyBorder="1" applyAlignment="1">
      <alignment horizontal="center" vertical="center" wrapText="1"/>
    </xf>
    <xf numFmtId="0" fontId="39" fillId="0" borderId="16" xfId="1" applyFont="1" applyBorder="1" applyAlignment="1">
      <alignment horizontal="center" vertical="center"/>
    </xf>
    <xf numFmtId="0" fontId="26" fillId="0" borderId="20" xfId="1" applyFont="1" applyBorder="1" applyAlignment="1">
      <alignment horizontal="center" vertical="center" wrapText="1"/>
    </xf>
    <xf numFmtId="0" fontId="26" fillId="0" borderId="20" xfId="1" applyFont="1" applyBorder="1" applyAlignment="1">
      <alignment horizontal="center" vertical="center"/>
    </xf>
    <xf numFmtId="165" fontId="26" fillId="0" borderId="20" xfId="1" applyNumberFormat="1" applyFont="1" applyBorder="1" applyAlignment="1">
      <alignment horizontal="center" vertical="center"/>
    </xf>
    <xf numFmtId="9" fontId="10" fillId="0" borderId="8" xfId="1" applyNumberFormat="1" applyBorder="1" applyAlignment="1">
      <alignment horizontal="center" vertical="center"/>
    </xf>
    <xf numFmtId="0" fontId="49" fillId="0" borderId="0" xfId="1" applyFont="1"/>
    <xf numFmtId="9" fontId="49" fillId="0" borderId="0" xfId="2" applyFont="1"/>
    <xf numFmtId="0" fontId="38" fillId="8" borderId="70" xfId="1" applyFont="1" applyFill="1" applyBorder="1" applyAlignment="1">
      <alignment horizontal="center" vertical="center"/>
    </xf>
    <xf numFmtId="0" fontId="23" fillId="8" borderId="33" xfId="0" applyFont="1" applyFill="1" applyBorder="1" applyAlignment="1">
      <alignment vertical="center" wrapText="1"/>
    </xf>
    <xf numFmtId="0" fontId="38" fillId="0" borderId="33" xfId="1" applyFont="1" applyFill="1" applyBorder="1" applyAlignment="1">
      <alignment horizontal="center" vertical="center" wrapText="1"/>
    </xf>
    <xf numFmtId="10" fontId="38" fillId="0" borderId="33" xfId="2" applyNumberFormat="1" applyFont="1" applyBorder="1" applyAlignment="1">
      <alignment horizontal="center" vertical="center" wrapText="1"/>
    </xf>
    <xf numFmtId="165" fontId="38" fillId="0" borderId="33" xfId="2" applyNumberFormat="1" applyFont="1" applyBorder="1" applyAlignment="1">
      <alignment horizontal="center" vertical="center" wrapText="1"/>
    </xf>
    <xf numFmtId="10" fontId="38" fillId="0" borderId="27" xfId="2" applyNumberFormat="1" applyFont="1" applyBorder="1" applyAlignment="1">
      <alignment horizontal="center" vertical="center" wrapText="1"/>
    </xf>
    <xf numFmtId="165" fontId="37" fillId="0" borderId="33" xfId="2" applyNumberFormat="1" applyFont="1" applyBorder="1" applyAlignment="1">
      <alignment horizontal="center" vertical="center"/>
    </xf>
    <xf numFmtId="165" fontId="37" fillId="0" borderId="27" xfId="2" applyNumberFormat="1" applyFont="1" applyBorder="1" applyAlignment="1">
      <alignment horizontal="center" vertical="center"/>
    </xf>
    <xf numFmtId="165" fontId="37" fillId="0" borderId="22" xfId="2" applyNumberFormat="1" applyFont="1" applyBorder="1" applyAlignment="1">
      <alignment horizontal="center" vertical="center"/>
    </xf>
    <xf numFmtId="0" fontId="38" fillId="8" borderId="72" xfId="1" applyFont="1" applyFill="1" applyBorder="1" applyAlignment="1">
      <alignment horizontal="center" vertical="center"/>
    </xf>
    <xf numFmtId="0" fontId="23" fillId="8" borderId="20" xfId="0" applyFont="1" applyFill="1" applyBorder="1" applyAlignment="1">
      <alignment vertical="center" wrapText="1"/>
    </xf>
    <xf numFmtId="0" fontId="38" fillId="0" borderId="32" xfId="1" applyFont="1" applyBorder="1" applyAlignment="1">
      <alignment horizontal="center" vertical="center" wrapText="1"/>
    </xf>
    <xf numFmtId="0" fontId="38" fillId="0" borderId="20" xfId="1" applyFont="1" applyFill="1" applyBorder="1" applyAlignment="1">
      <alignment horizontal="center" vertical="center" wrapText="1"/>
    </xf>
    <xf numFmtId="165" fontId="38" fillId="0" borderId="20" xfId="2" applyNumberFormat="1" applyFont="1" applyBorder="1" applyAlignment="1">
      <alignment horizontal="center" vertical="center" wrapText="1"/>
    </xf>
    <xf numFmtId="10" fontId="38" fillId="0" borderId="18" xfId="2" applyNumberFormat="1" applyFont="1" applyBorder="1" applyAlignment="1">
      <alignment horizontal="center" vertical="center" wrapText="1"/>
    </xf>
    <xf numFmtId="0" fontId="38" fillId="0" borderId="17" xfId="1" applyFont="1" applyBorder="1" applyAlignment="1">
      <alignment horizontal="center" vertical="center" wrapText="1"/>
    </xf>
    <xf numFmtId="0" fontId="37" fillId="0" borderId="20" xfId="0" applyFont="1" applyBorder="1" applyAlignment="1">
      <alignment horizontal="center" vertical="center"/>
    </xf>
    <xf numFmtId="165" fontId="37" fillId="0" borderId="35" xfId="2" applyNumberFormat="1" applyFont="1" applyBorder="1" applyAlignment="1">
      <alignment horizontal="center" vertical="center"/>
    </xf>
    <xf numFmtId="165" fontId="37" fillId="0" borderId="28" xfId="2" applyNumberFormat="1" applyFont="1" applyBorder="1" applyAlignment="1">
      <alignment horizontal="center" vertical="center"/>
    </xf>
    <xf numFmtId="0" fontId="33" fillId="5" borderId="0" xfId="0" applyFont="1" applyFill="1" applyBorder="1" applyAlignment="1"/>
    <xf numFmtId="0" fontId="0" fillId="0" borderId="8" xfId="0" applyBorder="1"/>
    <xf numFmtId="0" fontId="0" fillId="8" borderId="8" xfId="0" applyFill="1" applyBorder="1" applyAlignment="1">
      <alignment horizontal="center" vertical="center"/>
    </xf>
    <xf numFmtId="0" fontId="0" fillId="8" borderId="8" xfId="0" applyFill="1" applyBorder="1" applyAlignment="1">
      <alignment horizontal="center" vertical="center" wrapText="1"/>
    </xf>
    <xf numFmtId="0" fontId="0" fillId="8" borderId="8" xfId="0" applyFill="1" applyBorder="1" applyAlignment="1">
      <alignment horizontal="center" vertical="center" textRotation="90" wrapText="1"/>
    </xf>
    <xf numFmtId="0" fontId="0" fillId="0" borderId="8" xfId="0" applyBorder="1" applyAlignment="1">
      <alignment horizontal="center"/>
    </xf>
    <xf numFmtId="166" fontId="0" fillId="0" borderId="8" xfId="0" applyNumberFormat="1" applyBorder="1" applyAlignment="1">
      <alignment horizontal="center"/>
    </xf>
    <xf numFmtId="166" fontId="0" fillId="0" borderId="8" xfId="0" applyNumberFormat="1" applyBorder="1"/>
    <xf numFmtId="166" fontId="7" fillId="0" borderId="8" xfId="0" applyNumberFormat="1" applyFont="1" applyBorder="1" applyAlignment="1">
      <alignment horizontal="center"/>
    </xf>
    <xf numFmtId="2" fontId="7" fillId="0" borderId="8" xfId="0" applyNumberFormat="1" applyFont="1" applyBorder="1" applyAlignment="1">
      <alignment horizontal="center"/>
    </xf>
    <xf numFmtId="0" fontId="31" fillId="0" borderId="14" xfId="0" applyFont="1" applyFill="1" applyBorder="1" applyAlignment="1" applyProtection="1">
      <alignment horizontal="center" vertical="center" wrapText="1"/>
      <protection hidden="1"/>
    </xf>
    <xf numFmtId="0" fontId="31" fillId="0" borderId="14" xfId="0" applyFont="1" applyFill="1" applyBorder="1" applyAlignment="1" applyProtection="1">
      <alignment horizontal="center" vertical="center" textRotation="90"/>
      <protection hidden="1"/>
    </xf>
    <xf numFmtId="0" fontId="31" fillId="0" borderId="14" xfId="0" applyFont="1" applyFill="1" applyBorder="1" applyAlignment="1" applyProtection="1">
      <alignment horizontal="center" vertical="center"/>
      <protection hidden="1"/>
    </xf>
    <xf numFmtId="0" fontId="31" fillId="0" borderId="43" xfId="0" applyFont="1" applyFill="1" applyBorder="1" applyAlignment="1" applyProtection="1">
      <alignment horizontal="center" vertical="center" textRotation="90"/>
      <protection hidden="1"/>
    </xf>
    <xf numFmtId="0" fontId="31" fillId="0" borderId="21"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45" fillId="9" borderId="12" xfId="0" applyFont="1" applyFill="1" applyBorder="1" applyAlignment="1">
      <alignment horizontal="center" vertical="center" wrapText="1"/>
    </xf>
    <xf numFmtId="0" fontId="47" fillId="9" borderId="12" xfId="0" applyFont="1" applyFill="1" applyBorder="1" applyAlignment="1">
      <alignment horizontal="center" vertical="center" wrapText="1"/>
    </xf>
    <xf numFmtId="0" fontId="36" fillId="5" borderId="9" xfId="1" applyFont="1" applyFill="1" applyBorder="1" applyAlignment="1">
      <alignment horizontal="right" vertical="center" wrapText="1"/>
    </xf>
    <xf numFmtId="166" fontId="36" fillId="5" borderId="9" xfId="1" applyNumberFormat="1" applyFont="1" applyFill="1" applyBorder="1" applyAlignment="1">
      <alignment horizontal="right" vertical="center" wrapText="1"/>
    </xf>
    <xf numFmtId="0" fontId="36" fillId="5" borderId="9" xfId="1" applyFont="1" applyFill="1" applyBorder="1" applyAlignment="1">
      <alignment horizontal="left" vertical="center" wrapText="1"/>
    </xf>
    <xf numFmtId="0" fontId="48" fillId="5" borderId="9" xfId="1" applyFont="1" applyFill="1" applyBorder="1" applyAlignment="1">
      <alignment horizontal="left"/>
    </xf>
    <xf numFmtId="1" fontId="33" fillId="2" borderId="6" xfId="0" applyNumberFormat="1" applyFont="1" applyFill="1" applyBorder="1" applyAlignment="1" applyProtection="1">
      <alignment horizontal="center"/>
      <protection hidden="1"/>
    </xf>
    <xf numFmtId="0" fontId="52" fillId="0" borderId="0" xfId="0" applyFont="1" applyAlignment="1">
      <alignment horizontal="center" vertical="center"/>
    </xf>
    <xf numFmtId="0" fontId="36" fillId="5" borderId="0" xfId="1" applyFont="1" applyFill="1" applyBorder="1" applyAlignment="1">
      <alignment horizontal="center" vertical="center" wrapText="1"/>
    </xf>
    <xf numFmtId="0" fontId="20" fillId="0" borderId="8" xfId="0" applyFont="1" applyBorder="1"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xf>
    <xf numFmtId="2" fontId="20" fillId="0" borderId="8" xfId="0" applyNumberFormat="1" applyFont="1" applyBorder="1" applyAlignment="1">
      <alignment horizontal="center" vertical="center"/>
    </xf>
    <xf numFmtId="0" fontId="20" fillId="16" borderId="8" xfId="0" applyFont="1" applyFill="1" applyBorder="1" applyAlignment="1">
      <alignment horizontal="center" vertical="center"/>
    </xf>
    <xf numFmtId="49" fontId="20" fillId="16" borderId="8" xfId="0" applyNumberFormat="1" applyFont="1" applyFill="1" applyBorder="1" applyAlignment="1">
      <alignment horizontal="center" vertical="center"/>
    </xf>
    <xf numFmtId="0" fontId="20" fillId="16" borderId="8" xfId="0" applyFont="1" applyFill="1" applyBorder="1" applyAlignment="1">
      <alignment wrapText="1"/>
    </xf>
    <xf numFmtId="4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2" fontId="20" fillId="0" borderId="0" xfId="0" applyNumberFormat="1" applyFont="1" applyFill="1" applyBorder="1" applyAlignment="1">
      <alignment horizontal="center" vertical="center"/>
    </xf>
    <xf numFmtId="0" fontId="20" fillId="14" borderId="8" xfId="0" applyFont="1" applyFill="1" applyBorder="1" applyAlignment="1">
      <alignment horizontal="center" vertical="center"/>
    </xf>
    <xf numFmtId="49" fontId="20" fillId="14" borderId="8" xfId="0" applyNumberFormat="1" applyFont="1" applyFill="1" applyBorder="1" applyAlignment="1">
      <alignment horizontal="center" vertical="center"/>
    </xf>
    <xf numFmtId="0" fontId="20" fillId="13" borderId="8" xfId="0" applyFont="1" applyFill="1" applyBorder="1" applyAlignment="1">
      <alignment horizontal="center" vertical="center"/>
    </xf>
    <xf numFmtId="49" fontId="20" fillId="13" borderId="8" xfId="0" applyNumberFormat="1" applyFont="1" applyFill="1" applyBorder="1" applyAlignment="1">
      <alignment horizontal="center" vertical="center"/>
    </xf>
    <xf numFmtId="0" fontId="20" fillId="13" borderId="8" xfId="0" applyFont="1" applyFill="1" applyBorder="1" applyAlignment="1">
      <alignment wrapText="1"/>
    </xf>
    <xf numFmtId="1" fontId="36" fillId="5" borderId="0" xfId="1" applyNumberFormat="1" applyFont="1" applyFill="1" applyBorder="1" applyAlignment="1">
      <alignment horizontal="left" vertical="center" wrapText="1"/>
    </xf>
    <xf numFmtId="0" fontId="20" fillId="14" borderId="8" xfId="0" applyFont="1" applyFill="1" applyBorder="1" applyAlignment="1">
      <alignment wrapText="1"/>
    </xf>
    <xf numFmtId="0" fontId="40" fillId="2" borderId="0" xfId="0" applyFont="1" applyFill="1" applyProtection="1">
      <protection hidden="1"/>
    </xf>
    <xf numFmtId="0" fontId="56" fillId="2" borderId="0" xfId="0" applyFont="1" applyFill="1" applyBorder="1" applyAlignment="1" applyProtection="1">
      <alignment horizontal="center" vertical="center" wrapText="1"/>
      <protection hidden="1"/>
    </xf>
    <xf numFmtId="0" fontId="55" fillId="2" borderId="0" xfId="0" applyFont="1" applyFill="1" applyBorder="1" applyAlignment="1" applyProtection="1">
      <protection hidden="1"/>
    </xf>
    <xf numFmtId="0" fontId="55" fillId="0" borderId="0" xfId="0" applyFont="1" applyFill="1" applyBorder="1" applyAlignment="1">
      <alignment wrapText="1"/>
    </xf>
    <xf numFmtId="0" fontId="55" fillId="2" borderId="0" xfId="0" applyFont="1" applyFill="1" applyBorder="1" applyAlignment="1" applyProtection="1">
      <alignment wrapText="1"/>
      <protection hidden="1"/>
    </xf>
    <xf numFmtId="0" fontId="40" fillId="5" borderId="0" xfId="0" applyFont="1" applyFill="1" applyAlignment="1" applyProtection="1">
      <alignment wrapText="1"/>
      <protection hidden="1"/>
    </xf>
    <xf numFmtId="0" fontId="40" fillId="2" borderId="0" xfId="0" applyFont="1" applyFill="1" applyAlignment="1" applyProtection="1">
      <alignment wrapText="1"/>
      <protection hidden="1"/>
    </xf>
    <xf numFmtId="0" fontId="57" fillId="2" borderId="0" xfId="0" applyFont="1" applyFill="1" applyBorder="1" applyAlignment="1" applyProtection="1">
      <alignment horizontal="left" wrapText="1"/>
      <protection hidden="1"/>
    </xf>
    <xf numFmtId="0" fontId="40" fillId="0" borderId="0" xfId="0" applyFont="1" applyProtection="1">
      <protection hidden="1"/>
    </xf>
    <xf numFmtId="0" fontId="40" fillId="5" borderId="0" xfId="0" applyFont="1" applyFill="1" applyProtection="1">
      <protection hidden="1"/>
    </xf>
    <xf numFmtId="0" fontId="40" fillId="2" borderId="8" xfId="0" applyFont="1" applyFill="1" applyBorder="1" applyProtection="1">
      <protection hidden="1"/>
    </xf>
    <xf numFmtId="0" fontId="40" fillId="13" borderId="8" xfId="0" applyFont="1" applyFill="1" applyBorder="1" applyProtection="1">
      <protection hidden="1"/>
    </xf>
    <xf numFmtId="0" fontId="40" fillId="10" borderId="8" xfId="0" applyFont="1" applyFill="1" applyBorder="1" applyProtection="1">
      <protection hidden="1"/>
    </xf>
    <xf numFmtId="0" fontId="40" fillId="14" borderId="8" xfId="0" applyFont="1" applyFill="1" applyBorder="1" applyProtection="1">
      <protection hidden="1"/>
    </xf>
    <xf numFmtId="0" fontId="40" fillId="11" borderId="8" xfId="0" applyFont="1" applyFill="1" applyBorder="1" applyProtection="1">
      <protection hidden="1"/>
    </xf>
    <xf numFmtId="0" fontId="40" fillId="13" borderId="8" xfId="0" applyFont="1" applyFill="1" applyBorder="1" applyAlignment="1" applyProtection="1">
      <alignment horizontal="center"/>
      <protection hidden="1"/>
    </xf>
    <xf numFmtId="0" fontId="40" fillId="10" borderId="8" xfId="0" applyFont="1" applyFill="1" applyBorder="1" applyAlignment="1" applyProtection="1">
      <alignment horizontal="center"/>
      <protection hidden="1"/>
    </xf>
    <xf numFmtId="0" fontId="40" fillId="14" borderId="8" xfId="0" applyFont="1" applyFill="1" applyBorder="1" applyAlignment="1" applyProtection="1">
      <alignment horizontal="center"/>
      <protection hidden="1"/>
    </xf>
    <xf numFmtId="0" fontId="40" fillId="12" borderId="8" xfId="0" applyFont="1" applyFill="1" applyBorder="1" applyProtection="1">
      <protection hidden="1"/>
    </xf>
    <xf numFmtId="0" fontId="40" fillId="15" borderId="8" xfId="0" applyFont="1" applyFill="1" applyBorder="1" applyProtection="1">
      <protection hidden="1"/>
    </xf>
    <xf numFmtId="0" fontId="40" fillId="0" borderId="8" xfId="0" applyFont="1" applyFill="1" applyBorder="1" applyProtection="1">
      <protection hidden="1"/>
    </xf>
    <xf numFmtId="0" fontId="40" fillId="2" borderId="8" xfId="0" applyFont="1" applyFill="1" applyBorder="1" applyAlignment="1" applyProtection="1">
      <alignment horizontal="center"/>
      <protection hidden="1"/>
    </xf>
    <xf numFmtId="16" fontId="40" fillId="13" borderId="11" xfId="0" applyNumberFormat="1" applyFont="1" applyFill="1" applyBorder="1" applyProtection="1">
      <protection hidden="1"/>
    </xf>
    <xf numFmtId="0" fontId="40" fillId="13" borderId="11" xfId="0" applyFont="1" applyFill="1" applyBorder="1" applyAlignment="1" applyProtection="1">
      <alignment horizontal="center"/>
      <protection hidden="1"/>
    </xf>
    <xf numFmtId="0" fontId="55" fillId="2" borderId="0" xfId="0" applyFont="1" applyFill="1" applyBorder="1" applyProtection="1">
      <protection hidden="1"/>
    </xf>
    <xf numFmtId="0" fontId="40" fillId="0" borderId="0" xfId="0" applyFont="1" applyBorder="1" applyProtection="1">
      <protection hidden="1"/>
    </xf>
    <xf numFmtId="0" fontId="40" fillId="2" borderId="0" xfId="0" applyFont="1" applyFill="1" applyBorder="1" applyProtection="1">
      <protection hidden="1"/>
    </xf>
    <xf numFmtId="166" fontId="40" fillId="2" borderId="0" xfId="2" applyNumberFormat="1" applyFont="1" applyFill="1" applyBorder="1" applyProtection="1">
      <protection hidden="1"/>
    </xf>
    <xf numFmtId="165" fontId="40" fillId="2" borderId="0" xfId="2" applyNumberFormat="1" applyFont="1" applyFill="1" applyBorder="1" applyProtection="1">
      <protection hidden="1"/>
    </xf>
    <xf numFmtId="49" fontId="28" fillId="17" borderId="48" xfId="0" applyNumberFormat="1" applyFont="1" applyFill="1" applyBorder="1" applyAlignment="1">
      <alignment horizontal="center" vertical="center" wrapText="1"/>
    </xf>
    <xf numFmtId="49" fontId="28" fillId="17" borderId="3" xfId="0" applyNumberFormat="1" applyFont="1" applyFill="1" applyBorder="1" applyAlignment="1">
      <alignment horizontal="center" vertical="center" wrapText="1"/>
    </xf>
    <xf numFmtId="49" fontId="28" fillId="17" borderId="47" xfId="0" applyNumberFormat="1" applyFont="1" applyFill="1" applyBorder="1" applyAlignment="1">
      <alignment horizontal="center" vertical="center" wrapText="1"/>
    </xf>
    <xf numFmtId="49" fontId="28" fillId="17" borderId="25" xfId="0" applyNumberFormat="1" applyFont="1" applyFill="1" applyBorder="1" applyAlignment="1">
      <alignment horizontal="center" vertical="center" wrapText="1"/>
    </xf>
    <xf numFmtId="0" fontId="28" fillId="18" borderId="23" xfId="0" applyFont="1" applyFill="1" applyBorder="1" applyAlignment="1">
      <alignment horizontal="center" vertical="center" wrapText="1"/>
    </xf>
    <xf numFmtId="0" fontId="28" fillId="18" borderId="24" xfId="0" applyFont="1" applyFill="1" applyBorder="1" applyAlignment="1">
      <alignment horizontal="center" vertical="center" wrapText="1"/>
    </xf>
    <xf numFmtId="0" fontId="31" fillId="18" borderId="23" xfId="0" applyFont="1" applyFill="1" applyBorder="1" applyAlignment="1">
      <alignment horizontal="center" vertical="center" wrapText="1"/>
    </xf>
    <xf numFmtId="0" fontId="31" fillId="18" borderId="24" xfId="0" applyFont="1" applyFill="1" applyBorder="1" applyAlignment="1">
      <alignment horizontal="center" vertical="center" wrapText="1"/>
    </xf>
    <xf numFmtId="0" fontId="7" fillId="7" borderId="8" xfId="0" applyNumberFormat="1" applyFont="1" applyFill="1" applyBorder="1" applyAlignment="1" applyProtection="1">
      <alignment horizontal="center"/>
      <protection hidden="1"/>
    </xf>
    <xf numFmtId="0" fontId="44" fillId="9" borderId="37" xfId="0" applyFont="1" applyFill="1" applyBorder="1" applyAlignment="1">
      <alignment horizontal="center" vertical="center"/>
    </xf>
    <xf numFmtId="0" fontId="31" fillId="2" borderId="65" xfId="0" applyFont="1" applyFill="1" applyBorder="1" applyAlignment="1" applyProtection="1">
      <alignment horizontal="center" vertical="center" wrapText="1"/>
      <protection hidden="1"/>
    </xf>
    <xf numFmtId="0" fontId="31" fillId="2" borderId="45" xfId="0" applyFont="1" applyFill="1" applyBorder="1" applyAlignment="1" applyProtection="1">
      <alignment horizontal="center" vertical="center" wrapText="1"/>
      <protection hidden="1"/>
    </xf>
    <xf numFmtId="0" fontId="31" fillId="2" borderId="40" xfId="0" applyFont="1" applyFill="1" applyBorder="1" applyAlignment="1" applyProtection="1">
      <alignment horizontal="center" vertical="center" wrapText="1"/>
      <protection hidden="1"/>
    </xf>
    <xf numFmtId="0" fontId="31" fillId="2" borderId="68" xfId="0" applyFont="1" applyFill="1" applyBorder="1" applyAlignment="1" applyProtection="1">
      <alignment horizontal="center" vertical="center" wrapText="1"/>
      <protection hidden="1"/>
    </xf>
    <xf numFmtId="0" fontId="31" fillId="0" borderId="73" xfId="0" applyFont="1" applyFill="1" applyBorder="1" applyAlignment="1" applyProtection="1">
      <alignment horizontal="center" vertical="center" textRotation="90" wrapText="1"/>
      <protection hidden="1"/>
    </xf>
    <xf numFmtId="0" fontId="31" fillId="0" borderId="9" xfId="0" applyFont="1" applyFill="1" applyBorder="1" applyAlignment="1" applyProtection="1">
      <alignment horizontal="center" vertical="center" textRotation="90" wrapText="1"/>
      <protection hidden="1"/>
    </xf>
    <xf numFmtId="0" fontId="31" fillId="0" borderId="45" xfId="0" applyFont="1" applyFill="1" applyBorder="1" applyAlignment="1" applyProtection="1">
      <alignment horizontal="center" vertical="center" wrapText="1"/>
      <protection hidden="1"/>
    </xf>
    <xf numFmtId="0" fontId="31" fillId="0" borderId="9" xfId="0" applyFont="1" applyFill="1" applyBorder="1" applyAlignment="1" applyProtection="1">
      <alignment horizontal="center" vertical="center" wrapText="1"/>
      <protection hidden="1"/>
    </xf>
    <xf numFmtId="0" fontId="31" fillId="0" borderId="39" xfId="0" applyFont="1" applyFill="1" applyBorder="1" applyAlignment="1" applyProtection="1">
      <alignment horizontal="center" vertical="center" wrapText="1"/>
      <protection hidden="1"/>
    </xf>
    <xf numFmtId="0" fontId="31" fillId="0" borderId="22" xfId="0" applyFont="1" applyFill="1" applyBorder="1" applyAlignment="1" applyProtection="1">
      <alignment horizontal="center" vertical="center" wrapText="1"/>
      <protection hidden="1"/>
    </xf>
    <xf numFmtId="0" fontId="31" fillId="7" borderId="11" xfId="0" applyNumberFormat="1" applyFont="1" applyFill="1" applyBorder="1" applyAlignment="1" applyProtection="1">
      <alignment horizontal="center" vertical="center" wrapText="1"/>
      <protection hidden="1"/>
    </xf>
    <xf numFmtId="17" fontId="0" fillId="2" borderId="3" xfId="0" applyNumberFormat="1" applyFill="1" applyBorder="1" applyAlignment="1" applyProtection="1">
      <alignment horizontal="center"/>
      <protection locked="0"/>
    </xf>
    <xf numFmtId="16" fontId="0" fillId="2" borderId="3" xfId="0" applyNumberFormat="1" applyFill="1" applyBorder="1" applyAlignment="1" applyProtection="1">
      <alignment horizontal="center"/>
      <protection locked="0"/>
    </xf>
    <xf numFmtId="0" fontId="31" fillId="0" borderId="0" xfId="0" applyFont="1" applyFill="1" applyBorder="1" applyAlignment="1" applyProtection="1">
      <alignment horizontal="right" vertical="center" wrapText="1"/>
      <protection hidden="1"/>
    </xf>
    <xf numFmtId="0" fontId="28" fillId="0" borderId="0" xfId="0" applyFont="1" applyAlignment="1">
      <alignment vertical="center" wrapText="1"/>
    </xf>
    <xf numFmtId="0" fontId="28" fillId="0" borderId="0" xfId="0" applyFont="1" applyBorder="1" applyAlignment="1">
      <alignment vertical="center" wrapText="1"/>
    </xf>
    <xf numFmtId="0" fontId="33" fillId="0" borderId="9" xfId="0" applyFont="1" applyFill="1" applyBorder="1" applyAlignment="1" applyProtection="1">
      <alignment horizontal="center"/>
      <protection hidden="1"/>
    </xf>
    <xf numFmtId="0" fontId="28" fillId="0" borderId="9" xfId="0" applyFont="1" applyBorder="1" applyAlignment="1">
      <alignment horizontal="center"/>
    </xf>
    <xf numFmtId="0" fontId="28" fillId="0" borderId="4" xfId="0" applyFont="1" applyBorder="1" applyAlignment="1">
      <alignment vertical="center" wrapText="1"/>
    </xf>
    <xf numFmtId="0" fontId="28" fillId="0" borderId="1" xfId="0" applyFont="1" applyBorder="1" applyAlignment="1" applyProtection="1">
      <alignment horizontal="center" vertical="center" wrapText="1"/>
      <protection locked="0" hidden="1"/>
    </xf>
    <xf numFmtId="0" fontId="28" fillId="0" borderId="47" xfId="0" applyFont="1" applyBorder="1" applyAlignment="1" applyProtection="1">
      <alignment horizontal="center" vertical="center" wrapText="1"/>
      <protection locked="0"/>
    </xf>
    <xf numFmtId="0" fontId="28" fillId="0" borderId="48" xfId="0" applyFont="1" applyBorder="1" applyAlignment="1" applyProtection="1">
      <alignment horizontal="center" vertical="center" wrapText="1"/>
      <protection locked="0"/>
    </xf>
    <xf numFmtId="0" fontId="28" fillId="4" borderId="12" xfId="0" applyFont="1" applyFill="1" applyBorder="1" applyAlignment="1" applyProtection="1">
      <alignment horizontal="center" vertical="center" textRotation="90" wrapText="1"/>
      <protection hidden="1"/>
    </xf>
    <xf numFmtId="0" fontId="28" fillId="4" borderId="13" xfId="0" applyFont="1" applyFill="1" applyBorder="1" applyAlignment="1" applyProtection="1">
      <alignment horizontal="center" vertical="center" textRotation="90" wrapText="1"/>
      <protection hidden="1"/>
    </xf>
    <xf numFmtId="0" fontId="28" fillId="4" borderId="14" xfId="0" applyFont="1" applyFill="1" applyBorder="1" applyAlignment="1" applyProtection="1">
      <alignment horizontal="center" vertical="center" textRotation="90" wrapText="1"/>
      <protection hidden="1"/>
    </xf>
    <xf numFmtId="0" fontId="28" fillId="4" borderId="8" xfId="0" applyFont="1" applyFill="1" applyBorder="1" applyAlignment="1" applyProtection="1">
      <alignment horizontal="center" vertical="center"/>
      <protection hidden="1"/>
    </xf>
    <xf numFmtId="0" fontId="28" fillId="4" borderId="12" xfId="0" applyFont="1" applyFill="1" applyBorder="1" applyAlignment="1" applyProtection="1">
      <alignment horizontal="center" vertical="center" wrapText="1"/>
      <protection hidden="1"/>
    </xf>
    <xf numFmtId="0" fontId="28" fillId="4" borderId="13" xfId="0" applyFont="1" applyFill="1" applyBorder="1" applyAlignment="1" applyProtection="1">
      <alignment horizontal="center" wrapText="1"/>
      <protection hidden="1"/>
    </xf>
    <xf numFmtId="0" fontId="28" fillId="4" borderId="14" xfId="0" applyFont="1" applyFill="1" applyBorder="1" applyAlignment="1" applyProtection="1">
      <alignment horizontal="center" wrapText="1"/>
      <protection hidden="1"/>
    </xf>
    <xf numFmtId="0" fontId="28" fillId="4" borderId="37" xfId="0" applyFont="1" applyFill="1" applyBorder="1" applyAlignment="1" applyProtection="1">
      <alignment horizontal="center" vertical="center"/>
      <protection hidden="1"/>
    </xf>
    <xf numFmtId="0" fontId="28" fillId="4" borderId="49" xfId="0" applyFont="1" applyFill="1" applyBorder="1" applyAlignment="1" applyProtection="1">
      <alignment horizontal="center" vertical="center"/>
      <protection hidden="1"/>
    </xf>
    <xf numFmtId="0" fontId="28" fillId="4" borderId="44" xfId="0" applyFont="1" applyFill="1" applyBorder="1" applyAlignment="1" applyProtection="1">
      <alignment horizontal="center" vertical="center"/>
      <protection hidden="1"/>
    </xf>
    <xf numFmtId="0" fontId="28" fillId="4" borderId="50" xfId="0" applyFont="1" applyFill="1" applyBorder="1" applyAlignment="1" applyProtection="1">
      <alignment horizontal="center" vertical="center"/>
      <protection hidden="1"/>
    </xf>
    <xf numFmtId="0" fontId="28" fillId="4" borderId="43" xfId="0" applyFont="1" applyFill="1" applyBorder="1" applyAlignment="1" applyProtection="1">
      <alignment horizontal="center" vertical="center"/>
      <protection hidden="1"/>
    </xf>
    <xf numFmtId="0" fontId="28" fillId="4" borderId="39" xfId="0" applyFont="1" applyFill="1" applyBorder="1" applyAlignment="1" applyProtection="1">
      <alignment horizontal="center" vertical="center"/>
      <protection hidden="1"/>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2" xfId="0" applyFont="1" applyFill="1" applyBorder="1" applyAlignment="1" applyProtection="1">
      <alignment horizontal="center" vertical="center" wrapText="1"/>
      <protection locked="0" hidden="1"/>
    </xf>
    <xf numFmtId="0" fontId="28" fillId="4" borderId="13" xfId="0" applyFont="1" applyFill="1" applyBorder="1" applyAlignment="1" applyProtection="1">
      <alignment horizontal="center" vertical="center" wrapText="1"/>
      <protection locked="0" hidden="1"/>
    </xf>
    <xf numFmtId="0" fontId="28" fillId="4" borderId="14" xfId="0" applyFont="1" applyFill="1" applyBorder="1" applyAlignment="1" applyProtection="1">
      <alignment horizontal="center" vertical="center" wrapText="1"/>
      <protection locked="0" hidden="1"/>
    </xf>
    <xf numFmtId="0" fontId="28" fillId="4" borderId="8" xfId="0" applyFont="1" applyFill="1" applyBorder="1" applyAlignment="1" applyProtection="1">
      <alignment horizontal="center" vertical="center" wrapText="1"/>
      <protection hidden="1"/>
    </xf>
    <xf numFmtId="0" fontId="0" fillId="2" borderId="51" xfId="0" applyFill="1" applyBorder="1" applyAlignment="1" applyProtection="1">
      <alignment horizontal="center"/>
      <protection locked="0"/>
    </xf>
    <xf numFmtId="0" fontId="0" fillId="0" borderId="47" xfId="0" applyBorder="1" applyAlignment="1" applyProtection="1">
      <protection locked="0"/>
    </xf>
    <xf numFmtId="0" fontId="0" fillId="0" borderId="48" xfId="0" applyBorder="1" applyAlignment="1" applyProtection="1">
      <protection locked="0"/>
    </xf>
    <xf numFmtId="164" fontId="0" fillId="2" borderId="51" xfId="0" applyNumberFormat="1" applyFill="1" applyBorder="1" applyAlignment="1" applyProtection="1">
      <alignment horizontal="center"/>
      <protection locked="0"/>
    </xf>
    <xf numFmtId="164" fontId="0" fillId="0" borderId="48" xfId="0" applyNumberFormat="1" applyBorder="1" applyAlignment="1" applyProtection="1">
      <protection locked="0"/>
    </xf>
    <xf numFmtId="0" fontId="5" fillId="2" borderId="2" xfId="0" applyFont="1" applyFill="1" applyBorder="1" applyAlignment="1">
      <alignment wrapText="1"/>
    </xf>
    <xf numFmtId="0" fontId="0" fillId="0" borderId="0" xfId="0" applyAlignment="1"/>
    <xf numFmtId="0" fontId="0" fillId="0" borderId="4" xfId="0" applyBorder="1" applyAlignment="1"/>
    <xf numFmtId="0" fontId="0" fillId="2" borderId="51" xfId="0" applyFill="1" applyBorder="1" applyAlignment="1" applyProtection="1">
      <alignment horizontal="center" vertical="top" wrapText="1"/>
      <protection locked="0"/>
    </xf>
    <xf numFmtId="0" fontId="0" fillId="0" borderId="47" xfId="0" applyBorder="1" applyAlignment="1" applyProtection="1">
      <alignment vertical="top" wrapText="1"/>
      <protection locked="0"/>
    </xf>
    <xf numFmtId="0" fontId="0" fillId="0" borderId="48" xfId="0" applyBorder="1" applyAlignment="1" applyProtection="1">
      <alignment vertical="top" wrapText="1"/>
      <protection locked="0"/>
    </xf>
    <xf numFmtId="0" fontId="13" fillId="2" borderId="52" xfId="0" applyFont="1" applyFill="1" applyBorder="1" applyAlignment="1">
      <alignment horizontal="center"/>
    </xf>
    <xf numFmtId="0" fontId="14" fillId="0" borderId="52" xfId="0" applyFont="1" applyBorder="1" applyAlignment="1">
      <alignment horizontal="center"/>
    </xf>
    <xf numFmtId="0" fontId="0" fillId="2" borderId="0" xfId="0" applyFill="1" applyBorder="1" applyAlignment="1"/>
    <xf numFmtId="0" fontId="0" fillId="2" borderId="4" xfId="0" applyFill="1" applyBorder="1" applyAlignment="1"/>
    <xf numFmtId="0" fontId="0" fillId="2" borderId="51" xfId="0" applyFill="1" applyBorder="1" applyAlignment="1" applyProtection="1">
      <alignment horizontal="center" wrapText="1"/>
      <protection locked="0"/>
    </xf>
    <xf numFmtId="0" fontId="0" fillId="0" borderId="47" xfId="0" applyBorder="1" applyAlignment="1" applyProtection="1">
      <alignment wrapText="1"/>
      <protection locked="0"/>
    </xf>
    <xf numFmtId="0" fontId="0" fillId="0" borderId="48" xfId="0" applyBorder="1" applyAlignment="1" applyProtection="1">
      <alignment wrapText="1"/>
      <protection locked="0"/>
    </xf>
    <xf numFmtId="0" fontId="9" fillId="2" borderId="0" xfId="0" applyFont="1" applyFill="1" applyBorder="1" applyAlignment="1" applyProtection="1">
      <alignment horizontal="right" vertical="center" wrapText="1"/>
      <protection hidden="1"/>
    </xf>
    <xf numFmtId="0" fontId="11" fillId="0" borderId="4" xfId="0" applyFont="1" applyBorder="1" applyAlignment="1">
      <alignment horizontal="right" vertical="center" wrapText="1"/>
    </xf>
    <xf numFmtId="0" fontId="6" fillId="3" borderId="51" xfId="0" applyFont="1" applyFill="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0" fillId="2" borderId="47" xfId="0" applyFill="1" applyBorder="1" applyAlignment="1" applyProtection="1">
      <protection locked="0"/>
    </xf>
    <xf numFmtId="0" fontId="28" fillId="2" borderId="9" xfId="0" applyFont="1" applyFill="1" applyBorder="1" applyAlignment="1" applyProtection="1">
      <alignment horizontal="center" wrapText="1"/>
      <protection hidden="1"/>
    </xf>
    <xf numFmtId="0" fontId="33" fillId="0" borderId="0" xfId="0" applyFont="1" applyFill="1" applyBorder="1" applyAlignment="1" applyProtection="1">
      <alignment horizontal="center"/>
      <protection hidden="1"/>
    </xf>
    <xf numFmtId="0" fontId="29" fillId="2" borderId="0" xfId="0" applyFont="1" applyFill="1" applyBorder="1" applyAlignment="1" applyProtection="1">
      <alignment horizontal="center"/>
      <protection hidden="1"/>
    </xf>
    <xf numFmtId="0" fontId="31" fillId="4" borderId="65" xfId="0" applyFont="1" applyFill="1" applyBorder="1" applyAlignment="1" applyProtection="1">
      <alignment horizontal="center" vertical="center" wrapText="1"/>
      <protection hidden="1"/>
    </xf>
    <xf numFmtId="0" fontId="31" fillId="4" borderId="40" xfId="0" applyFont="1" applyFill="1" applyBorder="1" applyAlignment="1" applyProtection="1">
      <alignment horizontal="center" vertical="center" wrapText="1"/>
      <protection hidden="1"/>
    </xf>
    <xf numFmtId="0" fontId="31" fillId="4" borderId="42" xfId="0" applyFont="1" applyFill="1" applyBorder="1" applyAlignment="1" applyProtection="1">
      <alignment horizontal="center" vertical="center" wrapText="1"/>
      <protection hidden="1"/>
    </xf>
    <xf numFmtId="0" fontId="31" fillId="4" borderId="65" xfId="0" applyFont="1" applyFill="1" applyBorder="1" applyAlignment="1" applyProtection="1">
      <alignment horizontal="center" vertical="center" textRotation="90"/>
      <protection hidden="1"/>
    </xf>
    <xf numFmtId="0" fontId="31" fillId="4" borderId="40" xfId="0" applyFont="1" applyFill="1" applyBorder="1" applyAlignment="1" applyProtection="1">
      <alignment horizontal="center" vertical="center" textRotation="90"/>
      <protection hidden="1"/>
    </xf>
    <xf numFmtId="0" fontId="31" fillId="4" borderId="42" xfId="0" applyFont="1" applyFill="1" applyBorder="1" applyAlignment="1" applyProtection="1">
      <alignment horizontal="center" vertical="center" textRotation="90"/>
      <protection hidden="1"/>
    </xf>
    <xf numFmtId="0" fontId="31" fillId="4" borderId="56" xfId="0" applyFont="1" applyFill="1" applyBorder="1" applyAlignment="1" applyProtection="1">
      <alignment horizontal="center" vertical="center"/>
      <protection hidden="1"/>
    </xf>
    <xf numFmtId="0" fontId="31" fillId="4" borderId="59" xfId="0" applyFont="1" applyFill="1" applyBorder="1" applyAlignment="1" applyProtection="1">
      <alignment horizontal="center" vertical="center"/>
      <protection hidden="1"/>
    </xf>
    <xf numFmtId="0" fontId="31" fillId="4" borderId="62" xfId="0" applyFont="1" applyFill="1" applyBorder="1" applyAlignment="1" applyProtection="1">
      <alignment horizontal="center" vertical="center"/>
      <protection hidden="1"/>
    </xf>
    <xf numFmtId="14" fontId="31" fillId="2" borderId="6" xfId="0" applyNumberFormat="1" applyFont="1" applyFill="1" applyBorder="1" applyAlignment="1" applyProtection="1">
      <alignment horizontal="center" wrapText="1"/>
      <protection locked="0" hidden="1"/>
    </xf>
    <xf numFmtId="0" fontId="33" fillId="4" borderId="1" xfId="0" applyFont="1" applyFill="1" applyBorder="1" applyAlignment="1" applyProtection="1">
      <alignment horizontal="center" vertical="center" wrapText="1"/>
      <protection hidden="1"/>
    </xf>
    <xf numFmtId="0" fontId="33" fillId="4" borderId="52" xfId="0" applyFont="1" applyFill="1" applyBorder="1" applyAlignment="1" applyProtection="1">
      <alignment horizontal="center" vertical="center" wrapText="1"/>
      <protection hidden="1"/>
    </xf>
    <xf numFmtId="0" fontId="33" fillId="4" borderId="61" xfId="0" applyFont="1" applyFill="1" applyBorder="1" applyAlignment="1" applyProtection="1">
      <alignment horizontal="center" vertical="center" wrapText="1"/>
      <protection hidden="1"/>
    </xf>
    <xf numFmtId="0" fontId="33" fillId="4" borderId="5" xfId="0" applyFont="1" applyFill="1" applyBorder="1" applyAlignment="1" applyProtection="1">
      <alignment horizontal="center" vertical="center" wrapText="1"/>
      <protection hidden="1"/>
    </xf>
    <xf numFmtId="0" fontId="33" fillId="4" borderId="6" xfId="0" applyFont="1" applyFill="1" applyBorder="1" applyAlignment="1" applyProtection="1">
      <alignment horizontal="center" vertical="center" wrapText="1"/>
      <protection hidden="1"/>
    </xf>
    <xf numFmtId="0" fontId="33" fillId="4" borderId="7" xfId="0" applyFont="1" applyFill="1" applyBorder="1" applyAlignment="1" applyProtection="1">
      <alignment horizontal="center" vertical="center" wrapText="1"/>
      <protection hidden="1"/>
    </xf>
    <xf numFmtId="0" fontId="33" fillId="2" borderId="19" xfId="0" applyFont="1" applyFill="1" applyBorder="1" applyAlignment="1" applyProtection="1">
      <alignment horizontal="center" vertical="center" wrapText="1"/>
      <protection hidden="1"/>
    </xf>
    <xf numFmtId="0" fontId="33" fillId="2" borderId="10" xfId="0" applyFont="1" applyFill="1" applyBorder="1" applyAlignment="1" applyProtection="1">
      <alignment horizontal="center" vertical="center" wrapText="1"/>
      <protection hidden="1"/>
    </xf>
    <xf numFmtId="0" fontId="33" fillId="2" borderId="11" xfId="0" applyFont="1" applyFill="1" applyBorder="1" applyAlignment="1" applyProtection="1">
      <alignment horizontal="center" vertical="center" wrapText="1"/>
      <protection hidden="1"/>
    </xf>
    <xf numFmtId="0" fontId="29" fillId="2" borderId="0" xfId="0" applyFont="1" applyFill="1" applyBorder="1" applyAlignment="1" applyProtection="1">
      <alignment horizontal="center" vertical="center" wrapText="1"/>
      <protection hidden="1"/>
    </xf>
    <xf numFmtId="0" fontId="29" fillId="2" borderId="50" xfId="0" applyFont="1" applyFill="1" applyBorder="1" applyAlignment="1" applyProtection="1">
      <alignment horizontal="center" vertical="center" wrapText="1"/>
      <protection hidden="1"/>
    </xf>
    <xf numFmtId="0" fontId="29" fillId="2" borderId="0" xfId="0" applyFont="1" applyFill="1" applyBorder="1" applyAlignment="1" applyProtection="1">
      <alignment horizontal="right" vertical="center" wrapText="1"/>
      <protection hidden="1"/>
    </xf>
    <xf numFmtId="0" fontId="28" fillId="2" borderId="0" xfId="0" applyFont="1" applyFill="1" applyBorder="1" applyAlignment="1"/>
    <xf numFmtId="0" fontId="31" fillId="7" borderId="65" xfId="0" applyFont="1" applyFill="1" applyBorder="1" applyAlignment="1" applyProtection="1">
      <alignment horizontal="center" vertical="center" wrapText="1"/>
      <protection hidden="1"/>
    </xf>
    <xf numFmtId="0" fontId="31" fillId="7" borderId="40" xfId="0" applyFont="1" applyFill="1" applyBorder="1" applyAlignment="1" applyProtection="1">
      <alignment horizontal="center" vertical="center" wrapText="1"/>
      <protection hidden="1"/>
    </xf>
    <xf numFmtId="0" fontId="31" fillId="7" borderId="68" xfId="0" applyFont="1" applyFill="1" applyBorder="1" applyAlignment="1" applyProtection="1">
      <alignment horizontal="center" vertical="center" wrapText="1"/>
      <protection hidden="1"/>
    </xf>
    <xf numFmtId="0" fontId="31" fillId="7" borderId="58" xfId="0" applyFont="1" applyFill="1" applyBorder="1" applyAlignment="1" applyProtection="1">
      <alignment horizontal="center" vertical="center" wrapText="1"/>
      <protection hidden="1"/>
    </xf>
    <xf numFmtId="0" fontId="31" fillId="7" borderId="10" xfId="0" applyFont="1" applyFill="1" applyBorder="1" applyAlignment="1" applyProtection="1">
      <alignment horizontal="center" vertical="center" wrapText="1"/>
      <protection hidden="1"/>
    </xf>
    <xf numFmtId="0" fontId="31" fillId="7" borderId="67" xfId="0" applyFont="1" applyFill="1" applyBorder="1" applyAlignment="1" applyProtection="1">
      <alignment horizontal="center" vertical="center" wrapText="1"/>
      <protection hidden="1"/>
    </xf>
    <xf numFmtId="0" fontId="31" fillId="7" borderId="64" xfId="0" applyFont="1" applyFill="1" applyBorder="1" applyAlignment="1" applyProtection="1">
      <alignment horizontal="center" vertical="center" wrapText="1"/>
      <protection hidden="1"/>
    </xf>
    <xf numFmtId="0" fontId="31" fillId="7" borderId="66" xfId="0" applyFont="1" applyFill="1" applyBorder="1" applyAlignment="1" applyProtection="1">
      <alignment horizontal="center" vertical="center" wrapText="1"/>
      <protection hidden="1"/>
    </xf>
    <xf numFmtId="0" fontId="31" fillId="7" borderId="69" xfId="0" applyFont="1" applyFill="1" applyBorder="1" applyAlignment="1" applyProtection="1">
      <alignment horizontal="center" vertical="center" wrapText="1"/>
      <protection hidden="1"/>
    </xf>
    <xf numFmtId="0" fontId="31" fillId="7" borderId="56" xfId="0" applyFont="1" applyFill="1" applyBorder="1" applyAlignment="1" applyProtection="1">
      <alignment horizontal="center" vertical="center" wrapText="1"/>
      <protection hidden="1"/>
    </xf>
    <xf numFmtId="0" fontId="31" fillId="7" borderId="59" xfId="0" applyFont="1" applyFill="1" applyBorder="1" applyAlignment="1" applyProtection="1">
      <alignment horizontal="center" vertical="center" wrapText="1"/>
      <protection hidden="1"/>
    </xf>
    <xf numFmtId="0" fontId="31" fillId="7" borderId="76" xfId="0" applyFont="1" applyFill="1" applyBorder="1" applyAlignment="1" applyProtection="1">
      <alignment horizontal="center" vertical="center" wrapText="1"/>
      <protection hidden="1"/>
    </xf>
    <xf numFmtId="0" fontId="31" fillId="4" borderId="26" xfId="0" applyFont="1" applyFill="1" applyBorder="1" applyAlignment="1" applyProtection="1">
      <alignment horizontal="center" vertical="center" wrapText="1"/>
      <protection hidden="1"/>
    </xf>
    <xf numFmtId="0" fontId="31" fillId="4" borderId="16" xfId="0" applyFont="1" applyFill="1" applyBorder="1" applyAlignment="1" applyProtection="1">
      <alignment horizontal="center" vertical="center" wrapText="1"/>
      <protection hidden="1"/>
    </xf>
    <xf numFmtId="0" fontId="31" fillId="4" borderId="17" xfId="0" applyFont="1" applyFill="1" applyBorder="1" applyAlignment="1" applyProtection="1">
      <alignment horizontal="center" vertical="center" wrapText="1"/>
      <protection hidden="1"/>
    </xf>
    <xf numFmtId="0" fontId="31" fillId="4" borderId="33" xfId="0" applyFont="1" applyFill="1" applyBorder="1" applyAlignment="1" applyProtection="1">
      <alignment horizontal="center" vertical="center" textRotation="90"/>
      <protection hidden="1"/>
    </xf>
    <xf numFmtId="0" fontId="31" fillId="4" borderId="8" xfId="0" applyFont="1" applyFill="1" applyBorder="1" applyAlignment="1" applyProtection="1">
      <alignment horizontal="center" vertical="center" textRotation="90"/>
      <protection hidden="1"/>
    </xf>
    <xf numFmtId="0" fontId="31" fillId="4" borderId="20" xfId="0" applyFont="1" applyFill="1" applyBorder="1" applyAlignment="1" applyProtection="1">
      <alignment horizontal="center" vertical="center" textRotation="90"/>
      <protection hidden="1"/>
    </xf>
    <xf numFmtId="0" fontId="31" fillId="7" borderId="58" xfId="0" applyFont="1" applyFill="1" applyBorder="1" applyAlignment="1" applyProtection="1">
      <alignment horizontal="center" vertical="center" textRotation="90" wrapText="1"/>
      <protection hidden="1"/>
    </xf>
    <xf numFmtId="0" fontId="31" fillId="7" borderId="10" xfId="0" applyFont="1" applyFill="1" applyBorder="1" applyAlignment="1" applyProtection="1">
      <alignment horizontal="center" vertical="center" textRotation="90" wrapText="1"/>
      <protection hidden="1"/>
    </xf>
    <xf numFmtId="0" fontId="31" fillId="7" borderId="67" xfId="0" applyFont="1" applyFill="1" applyBorder="1" applyAlignment="1" applyProtection="1">
      <alignment horizontal="center" vertical="center" textRotation="90" wrapText="1"/>
      <protection hidden="1"/>
    </xf>
    <xf numFmtId="0" fontId="31" fillId="7" borderId="65" xfId="0" applyFont="1" applyFill="1" applyBorder="1" applyAlignment="1" applyProtection="1">
      <alignment horizontal="center" vertical="center" textRotation="90" wrapText="1"/>
      <protection hidden="1"/>
    </xf>
    <xf numFmtId="0" fontId="31" fillId="7" borderId="40" xfId="0" applyFont="1" applyFill="1" applyBorder="1" applyAlignment="1" applyProtection="1">
      <alignment horizontal="center" vertical="center" textRotation="90" wrapText="1"/>
      <protection hidden="1"/>
    </xf>
    <xf numFmtId="0" fontId="31" fillId="7" borderId="68" xfId="0" applyFont="1" applyFill="1" applyBorder="1" applyAlignment="1" applyProtection="1">
      <alignment horizontal="center" vertical="center" textRotation="90" wrapText="1"/>
      <protection hidden="1"/>
    </xf>
    <xf numFmtId="0" fontId="31" fillId="4" borderId="33" xfId="0" applyFont="1" applyFill="1" applyBorder="1" applyAlignment="1" applyProtection="1">
      <alignment horizontal="center" vertical="center"/>
      <protection hidden="1"/>
    </xf>
    <xf numFmtId="0" fontId="31" fillId="4" borderId="8" xfId="0" applyFont="1" applyFill="1" applyBorder="1" applyAlignment="1" applyProtection="1">
      <alignment horizontal="center" vertical="center"/>
      <protection hidden="1"/>
    </xf>
    <xf numFmtId="0" fontId="31" fillId="4" borderId="20" xfId="0" applyFont="1" applyFill="1" applyBorder="1" applyAlignment="1" applyProtection="1">
      <alignment horizontal="center" vertical="center"/>
      <protection hidden="1"/>
    </xf>
    <xf numFmtId="0" fontId="31" fillId="4" borderId="74" xfId="0" applyFont="1" applyFill="1" applyBorder="1" applyAlignment="1" applyProtection="1">
      <alignment horizontal="center" vertical="center" textRotation="90"/>
      <protection hidden="1"/>
    </xf>
    <xf numFmtId="0" fontId="31" fillId="4" borderId="13" xfId="0" applyFont="1" applyFill="1" applyBorder="1" applyAlignment="1" applyProtection="1">
      <alignment horizontal="center" vertical="center" textRotation="90"/>
      <protection hidden="1"/>
    </xf>
    <xf numFmtId="0" fontId="31" fillId="4" borderId="60" xfId="0" applyFont="1" applyFill="1" applyBorder="1" applyAlignment="1" applyProtection="1">
      <alignment horizontal="center" vertical="center" textRotation="90"/>
      <protection hidden="1"/>
    </xf>
    <xf numFmtId="0" fontId="33" fillId="4" borderId="75" xfId="0" applyFont="1" applyFill="1" applyBorder="1" applyAlignment="1" applyProtection="1">
      <alignment horizontal="center" vertical="center" wrapText="1"/>
      <protection hidden="1"/>
    </xf>
    <xf numFmtId="0" fontId="33" fillId="4" borderId="60" xfId="0" applyFont="1" applyFill="1" applyBorder="1" applyAlignment="1" applyProtection="1">
      <alignment horizontal="center" vertical="center" wrapText="1"/>
      <protection hidden="1"/>
    </xf>
    <xf numFmtId="0" fontId="29" fillId="2" borderId="44" xfId="0" applyFont="1" applyFill="1" applyBorder="1" applyAlignment="1" applyProtection="1">
      <alignment horizontal="center" vertical="center" wrapText="1"/>
      <protection hidden="1"/>
    </xf>
    <xf numFmtId="0" fontId="33" fillId="2" borderId="8" xfId="0" applyFont="1" applyFill="1" applyBorder="1" applyAlignment="1" applyProtection="1">
      <alignment horizontal="center" vertical="center" wrapText="1"/>
      <protection hidden="1"/>
    </xf>
    <xf numFmtId="0" fontId="28" fillId="0" borderId="0" xfId="0" applyFont="1" applyBorder="1" applyAlignment="1"/>
    <xf numFmtId="167" fontId="31" fillId="2" borderId="6" xfId="0" applyNumberFormat="1" applyFont="1" applyFill="1" applyBorder="1" applyAlignment="1" applyProtection="1">
      <alignment horizontal="center" wrapText="1"/>
      <protection locked="0" hidden="1"/>
    </xf>
    <xf numFmtId="0" fontId="37" fillId="2" borderId="6" xfId="0" applyFont="1" applyFill="1" applyBorder="1" applyAlignment="1" applyProtection="1">
      <alignment horizontal="center" wrapText="1"/>
      <protection hidden="1"/>
    </xf>
    <xf numFmtId="0" fontId="40" fillId="5" borderId="0" xfId="0" applyFont="1" applyFill="1" applyBorder="1" applyAlignment="1" applyProtection="1">
      <alignment horizontal="center"/>
      <protection hidden="1"/>
    </xf>
    <xf numFmtId="0" fontId="40" fillId="5" borderId="0" xfId="0" applyFont="1" applyFill="1" applyBorder="1" applyAlignment="1" applyProtection="1">
      <alignment horizontal="left"/>
      <protection hidden="1"/>
    </xf>
    <xf numFmtId="165" fontId="26" fillId="0" borderId="41" xfId="1" applyNumberFormat="1" applyFont="1" applyBorder="1" applyAlignment="1">
      <alignment horizontal="center" vertical="center"/>
    </xf>
    <xf numFmtId="165" fontId="26" fillId="0" borderId="22" xfId="1" applyNumberFormat="1" applyFont="1" applyBorder="1" applyAlignment="1">
      <alignment horizontal="center" vertical="center"/>
    </xf>
    <xf numFmtId="0" fontId="26" fillId="0" borderId="12" xfId="1" applyFont="1" applyBorder="1" applyAlignment="1">
      <alignment horizontal="center" vertical="center"/>
    </xf>
    <xf numFmtId="0" fontId="26" fillId="0" borderId="35" xfId="1" applyFont="1" applyBorder="1" applyAlignment="1">
      <alignment horizontal="center" vertical="center"/>
    </xf>
    <xf numFmtId="165" fontId="26" fillId="0" borderId="28" xfId="1" applyNumberFormat="1" applyFont="1" applyBorder="1" applyAlignment="1">
      <alignment horizontal="center" vertical="center"/>
    </xf>
    <xf numFmtId="0" fontId="26" fillId="0" borderId="14" xfId="1" applyFont="1" applyBorder="1" applyAlignment="1">
      <alignment horizontal="center" vertical="center"/>
    </xf>
    <xf numFmtId="165" fontId="26" fillId="0" borderId="12" xfId="1" applyNumberFormat="1" applyFont="1" applyBorder="1" applyAlignment="1">
      <alignment horizontal="center" vertical="center"/>
    </xf>
    <xf numFmtId="165" fontId="26" fillId="0" borderId="14" xfId="1" applyNumberFormat="1" applyFont="1" applyBorder="1" applyAlignment="1">
      <alignment horizontal="center" vertical="center"/>
    </xf>
    <xf numFmtId="165" fontId="26" fillId="0" borderId="35" xfId="1" applyNumberFormat="1" applyFont="1" applyBorder="1" applyAlignment="1">
      <alignment horizontal="center" vertical="center"/>
    </xf>
    <xf numFmtId="0" fontId="27" fillId="5" borderId="0" xfId="1" applyFont="1" applyFill="1" applyAlignment="1">
      <alignment horizontal="center" wrapText="1"/>
    </xf>
    <xf numFmtId="0" fontId="26" fillId="4" borderId="33" xfId="1" applyFont="1" applyFill="1" applyBorder="1" applyAlignment="1">
      <alignment horizontal="center" vertical="center" wrapText="1"/>
    </xf>
    <xf numFmtId="0" fontId="36" fillId="5" borderId="0" xfId="1" applyFont="1" applyFill="1" applyBorder="1" applyAlignment="1">
      <alignment horizontal="left" vertical="center" wrapText="1"/>
    </xf>
    <xf numFmtId="0" fontId="26" fillId="4" borderId="27" xfId="1" applyFont="1" applyFill="1" applyBorder="1" applyAlignment="1">
      <alignment horizontal="center" vertical="center" wrapText="1"/>
    </xf>
    <xf numFmtId="0" fontId="36" fillId="5" borderId="0" xfId="1" applyFont="1" applyFill="1" applyBorder="1" applyAlignment="1">
      <alignment horizontal="right" vertical="center" wrapText="1"/>
    </xf>
    <xf numFmtId="0" fontId="27" fillId="5" borderId="6" xfId="1" applyFont="1" applyFill="1" applyBorder="1" applyAlignment="1">
      <alignment horizontal="center"/>
    </xf>
    <xf numFmtId="0" fontId="26" fillId="4" borderId="20" xfId="1" applyFont="1" applyFill="1" applyBorder="1" applyAlignment="1">
      <alignment horizontal="center" vertical="center" wrapText="1"/>
    </xf>
    <xf numFmtId="0" fontId="26" fillId="4" borderId="26" xfId="1" applyFont="1" applyFill="1" applyBorder="1" applyAlignment="1">
      <alignment horizontal="center" vertical="center" wrapText="1"/>
    </xf>
    <xf numFmtId="0" fontId="26" fillId="4" borderId="17" xfId="1" applyFont="1" applyFill="1" applyBorder="1" applyAlignment="1">
      <alignment horizontal="center" vertical="center" wrapText="1"/>
    </xf>
    <xf numFmtId="0" fontId="26" fillId="4" borderId="33" xfId="1" applyFont="1" applyFill="1" applyBorder="1" applyAlignment="1">
      <alignment horizontal="center" vertical="center" textRotation="90" wrapText="1"/>
    </xf>
    <xf numFmtId="0" fontId="26" fillId="4" borderId="20" xfId="1" applyFont="1" applyFill="1" applyBorder="1" applyAlignment="1">
      <alignment horizontal="center" vertical="center" textRotation="90" wrapText="1"/>
    </xf>
    <xf numFmtId="0" fontId="36" fillId="5" borderId="53" xfId="1" applyFont="1" applyFill="1" applyBorder="1" applyAlignment="1">
      <alignment horizontal="center" vertical="center" wrapText="1"/>
    </xf>
    <xf numFmtId="0" fontId="36" fillId="5" borderId="9" xfId="1" applyFont="1" applyFill="1" applyBorder="1" applyAlignment="1">
      <alignment horizontal="right" vertical="center" wrapText="1"/>
    </xf>
    <xf numFmtId="0" fontId="39" fillId="0" borderId="71" xfId="1" applyFont="1" applyBorder="1" applyAlignment="1">
      <alignment horizontal="center" vertical="center"/>
    </xf>
    <xf numFmtId="0" fontId="39" fillId="0" borderId="5" xfId="1" applyFont="1" applyBorder="1" applyAlignment="1">
      <alignment horizontal="center" vertical="center"/>
    </xf>
    <xf numFmtId="0" fontId="26" fillId="0" borderId="12" xfId="1" applyFont="1" applyBorder="1" applyAlignment="1">
      <alignment horizontal="left" vertical="center" wrapText="1"/>
    </xf>
    <xf numFmtId="0" fontId="26" fillId="0" borderId="35" xfId="1" applyFont="1" applyBorder="1" applyAlignment="1">
      <alignment horizontal="left" vertical="center" wrapText="1"/>
    </xf>
    <xf numFmtId="0" fontId="26" fillId="0" borderId="8" xfId="1" applyFont="1" applyBorder="1" applyAlignment="1">
      <alignment horizontal="left" vertical="center" wrapText="1"/>
    </xf>
    <xf numFmtId="0" fontId="26" fillId="0" borderId="20" xfId="1" applyFont="1" applyBorder="1" applyAlignment="1">
      <alignment horizontal="left" vertical="center" wrapText="1"/>
    </xf>
    <xf numFmtId="0" fontId="39" fillId="0" borderId="38" xfId="1" applyFont="1" applyBorder="1" applyAlignment="1">
      <alignment horizontal="center" vertical="center"/>
    </xf>
    <xf numFmtId="0" fontId="39" fillId="0" borderId="21" xfId="1" applyFont="1" applyBorder="1" applyAlignment="1">
      <alignment horizontal="center" vertical="center"/>
    </xf>
    <xf numFmtId="0" fontId="26" fillId="0" borderId="14" xfId="1" applyFont="1" applyBorder="1" applyAlignment="1">
      <alignment horizontal="left" vertical="center" wrapText="1"/>
    </xf>
    <xf numFmtId="0" fontId="19" fillId="0" borderId="8" xfId="0" applyFont="1" applyBorder="1" applyAlignment="1">
      <alignment horizontal="center"/>
    </xf>
    <xf numFmtId="0" fontId="50" fillId="0" borderId="0" xfId="0" applyFont="1" applyAlignment="1">
      <alignment horizontal="center" vertical="center"/>
    </xf>
    <xf numFmtId="0" fontId="51" fillId="0" borderId="0" xfId="0" applyFont="1" applyAlignment="1">
      <alignment horizontal="center"/>
    </xf>
    <xf numFmtId="0" fontId="27" fillId="0" borderId="0" xfId="1" applyFont="1" applyAlignment="1">
      <alignment horizontal="center" wrapText="1"/>
    </xf>
    <xf numFmtId="0" fontId="36" fillId="0" borderId="0" xfId="1" applyFont="1" applyBorder="1" applyAlignment="1">
      <alignment horizontal="left" vertical="center" wrapText="1"/>
    </xf>
    <xf numFmtId="0" fontId="10" fillId="0" borderId="10" xfId="1" applyBorder="1" applyAlignment="1">
      <alignment horizontal="center" vertical="center"/>
    </xf>
    <xf numFmtId="0" fontId="10" fillId="0" borderId="11" xfId="1" applyBorder="1" applyAlignment="1">
      <alignment horizontal="center" vertical="center"/>
    </xf>
    <xf numFmtId="0" fontId="10" fillId="0" borderId="8" xfId="1" applyBorder="1" applyAlignment="1">
      <alignment horizontal="center" vertical="center"/>
    </xf>
    <xf numFmtId="0" fontId="10" fillId="0" borderId="8" xfId="1" applyBorder="1" applyAlignment="1">
      <alignment horizontal="center" wrapText="1"/>
    </xf>
    <xf numFmtId="0" fontId="36" fillId="0" borderId="0" xfId="1" applyFont="1" applyBorder="1" applyAlignment="1">
      <alignment horizontal="right" vertical="center" wrapText="1"/>
    </xf>
    <xf numFmtId="0" fontId="10" fillId="0" borderId="8" xfId="1" applyBorder="1" applyAlignment="1">
      <alignment horizontal="center"/>
    </xf>
    <xf numFmtId="0" fontId="10" fillId="0" borderId="8" xfId="1" applyBorder="1" applyAlignment="1">
      <alignment horizontal="center" vertical="center" wrapText="1"/>
    </xf>
    <xf numFmtId="0" fontId="27" fillId="0" borderId="0" xfId="1" applyFont="1" applyBorder="1" applyAlignment="1">
      <alignment horizontal="center"/>
    </xf>
    <xf numFmtId="0" fontId="37" fillId="4" borderId="8" xfId="0" applyFont="1" applyFill="1" applyBorder="1" applyAlignment="1">
      <alignment horizontal="center" vertical="center" wrapText="1"/>
    </xf>
    <xf numFmtId="1" fontId="36" fillId="0" borderId="0" xfId="1" applyNumberFormat="1" applyFont="1" applyBorder="1" applyAlignment="1">
      <alignment horizontal="left" vertical="center" wrapText="1"/>
    </xf>
    <xf numFmtId="0" fontId="36" fillId="0" borderId="9" xfId="1" applyFont="1" applyBorder="1" applyAlignment="1">
      <alignment horizontal="center" vertical="center" wrapText="1"/>
    </xf>
    <xf numFmtId="0" fontId="42" fillId="0" borderId="0" xfId="1" applyFont="1" applyAlignment="1">
      <alignment horizontal="center" wrapText="1"/>
    </xf>
    <xf numFmtId="0" fontId="37" fillId="4" borderId="12"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9"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42" fillId="5" borderId="0" xfId="1" applyFont="1" applyFill="1" applyBorder="1" applyAlignment="1">
      <alignment horizontal="center" wrapText="1"/>
    </xf>
    <xf numFmtId="0" fontId="33" fillId="5" borderId="0" xfId="0" applyFont="1" applyFill="1" applyBorder="1" applyAlignment="1" applyProtection="1">
      <alignment horizontal="center"/>
      <protection hidden="1"/>
    </xf>
    <xf numFmtId="0" fontId="36" fillId="5" borderId="9" xfId="1" applyFont="1" applyFill="1" applyBorder="1" applyAlignment="1">
      <alignment horizontal="center" vertical="center" wrapText="1"/>
    </xf>
    <xf numFmtId="0" fontId="42" fillId="5" borderId="0" xfId="1" applyFont="1" applyFill="1" applyAlignment="1">
      <alignment horizontal="center" wrapText="1"/>
    </xf>
    <xf numFmtId="0" fontId="53" fillId="0" borderId="0" xfId="0" applyFont="1" applyAlignment="1">
      <alignment horizontal="right" wrapText="1"/>
    </xf>
    <xf numFmtId="0" fontId="54" fillId="0" borderId="0" xfId="0" applyFont="1" applyAlignment="1">
      <alignment horizontal="center"/>
    </xf>
    <xf numFmtId="0" fontId="38" fillId="6" borderId="29" xfId="1" applyFont="1" applyFill="1" applyBorder="1" applyAlignment="1">
      <alignment horizontal="center" vertical="center" wrapText="1"/>
    </xf>
    <xf numFmtId="0" fontId="38" fillId="6" borderId="31" xfId="1" applyFont="1" applyFill="1" applyBorder="1" applyAlignment="1">
      <alignment horizontal="center" vertical="center" wrapText="1"/>
    </xf>
    <xf numFmtId="0" fontId="33" fillId="5" borderId="0" xfId="0" applyFont="1" applyFill="1" applyBorder="1" applyAlignment="1">
      <alignment horizontal="center"/>
    </xf>
    <xf numFmtId="0" fontId="38" fillId="8" borderId="54" xfId="1" applyFont="1" applyFill="1" applyBorder="1" applyAlignment="1">
      <alignment horizontal="center" vertical="center" wrapText="1"/>
    </xf>
    <xf numFmtId="0" fontId="38" fillId="8" borderId="46" xfId="1" applyFont="1" applyFill="1" applyBorder="1" applyAlignment="1">
      <alignment horizontal="center" vertical="center" wrapText="1"/>
    </xf>
    <xf numFmtId="0" fontId="38" fillId="8" borderId="28" xfId="1" applyFont="1" applyFill="1" applyBorder="1" applyAlignment="1">
      <alignment horizontal="center" vertical="center" wrapText="1"/>
    </xf>
    <xf numFmtId="0" fontId="38" fillId="6" borderId="26" xfId="1" applyFont="1" applyFill="1" applyBorder="1" applyAlignment="1">
      <alignment horizontal="center" vertical="center" wrapText="1"/>
    </xf>
    <xf numFmtId="0" fontId="38" fillId="6" borderId="16" xfId="1" applyFont="1" applyFill="1" applyBorder="1" applyAlignment="1">
      <alignment horizontal="center" vertical="center" wrapText="1"/>
    </xf>
    <xf numFmtId="0" fontId="38" fillId="6" borderId="17" xfId="1" applyFont="1" applyFill="1" applyBorder="1" applyAlignment="1">
      <alignment horizontal="center" vertical="center" wrapText="1"/>
    </xf>
    <xf numFmtId="0" fontId="36" fillId="5" borderId="0" xfId="1" applyFont="1" applyFill="1" applyBorder="1" applyAlignment="1">
      <alignment horizontal="center" vertical="center" wrapText="1"/>
    </xf>
    <xf numFmtId="0" fontId="38" fillId="4" borderId="29" xfId="1" applyFont="1" applyFill="1" applyBorder="1" applyAlignment="1">
      <alignment horizontal="center" vertical="center" wrapText="1"/>
    </xf>
    <xf numFmtId="0" fontId="38" fillId="4" borderId="58" xfId="1" applyFont="1" applyFill="1" applyBorder="1" applyAlignment="1">
      <alignment horizontal="center" vertical="center" wrapText="1"/>
    </xf>
    <xf numFmtId="0" fontId="38" fillId="4" borderId="56" xfId="1" applyFont="1" applyFill="1" applyBorder="1" applyAlignment="1">
      <alignment horizontal="center" vertical="center" wrapText="1"/>
    </xf>
    <xf numFmtId="0" fontId="38" fillId="4" borderId="19" xfId="1" applyFont="1" applyFill="1" applyBorder="1" applyAlignment="1">
      <alignment horizontal="center" vertical="center" wrapText="1"/>
    </xf>
    <xf numFmtId="0" fontId="38" fillId="4" borderId="11" xfId="1" applyFont="1" applyFill="1" applyBorder="1" applyAlignment="1">
      <alignment horizontal="center" vertical="center" wrapText="1"/>
    </xf>
    <xf numFmtId="0" fontId="38" fillId="4" borderId="59" xfId="1" applyFont="1" applyFill="1" applyBorder="1" applyAlignment="1">
      <alignment horizontal="center" vertical="center" wrapText="1"/>
    </xf>
    <xf numFmtId="0" fontId="38" fillId="8" borderId="57" xfId="1" applyFont="1" applyFill="1" applyBorder="1" applyAlignment="1">
      <alignment horizontal="center" vertical="center" textRotation="90" wrapText="1"/>
    </xf>
    <xf numFmtId="0" fontId="38" fillId="8" borderId="55" xfId="1" applyFont="1" applyFill="1" applyBorder="1" applyAlignment="1">
      <alignment horizontal="center" vertical="center" textRotation="90" wrapText="1"/>
    </xf>
    <xf numFmtId="0" fontId="38" fillId="8" borderId="34" xfId="1" applyFont="1" applyFill="1" applyBorder="1" applyAlignment="1">
      <alignment horizontal="center" vertical="center" textRotation="90" wrapText="1"/>
    </xf>
    <xf numFmtId="0" fontId="38" fillId="4" borderId="31" xfId="1" applyFont="1" applyFill="1" applyBorder="1" applyAlignment="1">
      <alignment horizontal="center" vertical="center" wrapText="1"/>
    </xf>
    <xf numFmtId="0" fontId="38" fillId="6" borderId="8" xfId="1" applyFont="1" applyFill="1" applyBorder="1" applyAlignment="1">
      <alignment horizontal="center" vertical="center" wrapText="1"/>
    </xf>
    <xf numFmtId="0" fontId="38" fillId="6" borderId="20" xfId="1" applyFont="1" applyFill="1" applyBorder="1" applyAlignment="1">
      <alignment horizontal="center" vertical="center" wrapText="1"/>
    </xf>
    <xf numFmtId="0" fontId="38" fillId="6" borderId="12" xfId="1" applyFont="1" applyFill="1" applyBorder="1" applyAlignment="1">
      <alignment horizontal="center" vertical="center" textRotation="90" wrapText="1"/>
    </xf>
    <xf numFmtId="0" fontId="38" fillId="6" borderId="35" xfId="1" applyFont="1" applyFill="1" applyBorder="1" applyAlignment="1">
      <alignment horizontal="center" vertical="center" textRotation="90" wrapText="1"/>
    </xf>
    <xf numFmtId="0" fontId="38" fillId="4" borderId="57" xfId="1" applyFont="1" applyFill="1" applyBorder="1" applyAlignment="1">
      <alignment horizontal="center" vertical="center" wrapText="1"/>
    </xf>
    <xf numFmtId="0" fontId="38" fillId="4" borderId="55" xfId="1" applyFont="1" applyFill="1" applyBorder="1" applyAlignment="1">
      <alignment horizontal="center" vertical="center" wrapText="1"/>
    </xf>
    <xf numFmtId="0" fontId="38" fillId="4" borderId="34" xfId="1" applyFont="1" applyFill="1" applyBorder="1" applyAlignment="1">
      <alignment horizontal="center" vertical="center" wrapText="1"/>
    </xf>
    <xf numFmtId="0" fontId="38" fillId="6" borderId="56" xfId="1" applyFont="1" applyFill="1" applyBorder="1" applyAlignment="1">
      <alignment horizontal="center" vertical="center" wrapText="1"/>
    </xf>
  </cellXfs>
  <cellStyles count="3">
    <cellStyle name="Обычный" xfId="0" builtinId="0"/>
    <cellStyle name="Обычный 2" xfId="1"/>
    <cellStyle name="Процентный" xfId="2" builtinId="5"/>
  </cellStyles>
  <dxfs count="15">
    <dxf>
      <font>
        <b/>
        <i val="0"/>
        <color rgb="FFFF0000"/>
      </font>
    </dxf>
    <dxf>
      <fill>
        <patternFill>
          <bgColor indexed="10"/>
        </patternFill>
      </fill>
    </dxf>
    <dxf>
      <fill>
        <patternFill>
          <bgColor indexed="10"/>
        </patternFill>
      </fill>
    </dxf>
    <dxf>
      <fill>
        <patternFill>
          <bgColor indexed="10"/>
        </patternFill>
      </fill>
    </dxf>
    <dxf>
      <fill>
        <patternFill>
          <bgColor rgb="FF0070C0"/>
        </patternFill>
      </fill>
    </dxf>
    <dxf>
      <fill>
        <patternFill>
          <bgColor indexed="10"/>
        </patternFill>
      </fill>
    </dxf>
    <dxf>
      <fill>
        <patternFill>
          <bgColor indexed="10"/>
        </patternFill>
      </fill>
    </dxf>
    <dxf>
      <fill>
        <patternFill>
          <bgColor rgb="FF0070C0"/>
        </patternFill>
      </fill>
    </dxf>
    <dxf>
      <fill>
        <patternFill>
          <bgColor indexed="10"/>
        </patternFill>
      </fill>
    </dxf>
    <dxf>
      <fill>
        <patternFill>
          <bgColor indexed="10"/>
        </patternFill>
      </fill>
    </dxf>
    <dxf>
      <fill>
        <patternFill>
          <bgColor indexed="10"/>
        </patternFill>
      </fill>
    </dxf>
    <dxf>
      <fill>
        <patternFill>
          <bgColor rgb="FFC00000"/>
        </patternFill>
      </fill>
    </dxf>
    <dxf>
      <fill>
        <patternFill patternType="none">
          <bgColor indexed="65"/>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4194221095871E-2"/>
          <c:y val="2.5592373363109606E-2"/>
          <c:w val="0.8974987101000661"/>
          <c:h val="0.78757578683634111"/>
        </c:manualLayout>
      </c:layout>
      <c:barChart>
        <c:barDir val="col"/>
        <c:grouping val="stacked"/>
        <c:varyColors val="0"/>
        <c:ser>
          <c:idx val="0"/>
          <c:order val="0"/>
          <c:tx>
            <c:strRef>
              <c:f>Ученик!$F$3</c:f>
              <c:strCache>
                <c:ptCount val="1"/>
                <c:pt idx="0">
                  <c:v>Процент выполнения заданий базового уровня</c:v>
                </c:pt>
              </c:strCache>
            </c:strRef>
          </c:tx>
          <c:invertIfNegative val="0"/>
          <c:cat>
            <c:strRef>
              <c:f>Ученик!$C$4:$C$43</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cat>
          <c:val>
            <c:numRef>
              <c:f>Ученик!$F$4:$F$43</c:f>
              <c:numCache>
                <c:formatCode>0.0</c:formatCode>
                <c:ptCount val="40"/>
                <c:pt idx="0">
                  <c:v>77.777777777777786</c:v>
                </c:pt>
                <c:pt idx="1">
                  <c:v>77.777777777777786</c:v>
                </c:pt>
                <c:pt idx="2">
                  <c:v>94.444444444444443</c:v>
                </c:pt>
                <c:pt idx="3">
                  <c:v>94.444444444444443</c:v>
                </c:pt>
                <c:pt idx="4">
                  <c:v>66.666666666666657</c:v>
                </c:pt>
                <c:pt idx="5">
                  <c:v>83.333333333333343</c:v>
                </c:pt>
                <c:pt idx="6">
                  <c:v>77.777777777777786</c:v>
                </c:pt>
                <c:pt idx="7">
                  <c:v>88.888888888888886</c:v>
                </c:pt>
                <c:pt idx="8">
                  <c:v>83.333333333333343</c:v>
                </c:pt>
                <c:pt idx="9">
                  <c:v>77.777777777777786</c:v>
                </c:pt>
                <c:pt idx="10">
                  <c:v>94.444444444444443</c:v>
                </c:pt>
                <c:pt idx="11">
                  <c:v>66.666666666666657</c:v>
                </c:pt>
                <c:pt idx="12">
                  <c:v>66.666666666666657</c:v>
                </c:pt>
                <c:pt idx="13">
                  <c:v>66.666666666666657</c:v>
                </c:pt>
                <c:pt idx="14">
                  <c:v>83.333333333333343</c:v>
                </c:pt>
                <c:pt idx="15">
                  <c:v>88.888888888888886</c:v>
                </c:pt>
                <c:pt idx="16">
                  <c:v>83.333333333333343</c:v>
                </c:pt>
                <c:pt idx="17">
                  <c:v>44.444444444444443</c:v>
                </c:pt>
                <c:pt idx="18">
                  <c:v>55.555555555555557</c:v>
                </c:pt>
                <c:pt idx="19">
                  <c:v>72.222222222222214</c:v>
                </c:pt>
                <c:pt idx="20">
                  <c:v>72.222222222222214</c:v>
                </c:pt>
                <c:pt idx="21">
                  <c:v>66.666666666666657</c:v>
                </c:pt>
                <c:pt idx="22">
                  <c:v>72.222222222222214</c:v>
                </c:pt>
                <c:pt idx="23">
                  <c:v>77.777777777777786</c:v>
                </c:pt>
                <c:pt idx="24">
                  <c:v>72.222222222222214</c:v>
                </c:pt>
                <c:pt idx="25">
                  <c:v>88.888888888888886</c:v>
                </c:pt>
                <c:pt idx="26">
                  <c:v>83.333333333333343</c:v>
                </c:pt>
                <c:pt idx="27">
                  <c:v>77.777777777777786</c:v>
                </c:pt>
                <c:pt idx="28">
                  <c:v>94.444444444444443</c:v>
                </c:pt>
                <c:pt idx="29">
                  <c:v>77.777777777777786</c:v>
                </c:pt>
                <c:pt idx="30">
                  <c:v>83.333333333333343</c:v>
                </c:pt>
                <c:pt idx="31">
                  <c:v>94.444444444444443</c:v>
                </c:pt>
                <c:pt idx="32">
                  <c:v>72.222222222222214</c:v>
                </c:pt>
                <c:pt idx="33">
                  <c:v>50</c:v>
                </c:pt>
                <c:pt idx="34">
                  <c:v>0</c:v>
                </c:pt>
                <c:pt idx="35">
                  <c:v>0</c:v>
                </c:pt>
                <c:pt idx="36">
                  <c:v>0</c:v>
                </c:pt>
                <c:pt idx="37">
                  <c:v>0</c:v>
                </c:pt>
                <c:pt idx="38">
                  <c:v>0</c:v>
                </c:pt>
                <c:pt idx="39">
                  <c:v>0</c:v>
                </c:pt>
              </c:numCache>
            </c:numRef>
          </c:val>
        </c:ser>
        <c:ser>
          <c:idx val="1"/>
          <c:order val="1"/>
          <c:tx>
            <c:strRef>
              <c:f>Ученик!$G$3</c:f>
              <c:strCache>
                <c:ptCount val="1"/>
                <c:pt idx="0">
                  <c:v>100</c:v>
                </c:pt>
              </c:strCache>
            </c:strRef>
          </c:tx>
          <c:spPr>
            <a:solidFill>
              <a:schemeClr val="accent1">
                <a:lumMod val="20000"/>
                <a:lumOff val="80000"/>
              </a:schemeClr>
            </a:soli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dashDot"/>
            </a:ln>
          </c:spPr>
          <c:invertIfNegative val="0"/>
          <c:val>
            <c:numRef>
              <c:f>Ученик!$G$4:$G$43</c:f>
              <c:numCache>
                <c:formatCode>0.0</c:formatCode>
                <c:ptCount val="40"/>
                <c:pt idx="0">
                  <c:v>22.222222222222214</c:v>
                </c:pt>
                <c:pt idx="1">
                  <c:v>22.222222222222214</c:v>
                </c:pt>
                <c:pt idx="2">
                  <c:v>5.5555555555555571</c:v>
                </c:pt>
                <c:pt idx="3">
                  <c:v>5.5555555555555571</c:v>
                </c:pt>
                <c:pt idx="4">
                  <c:v>33.333333333333343</c:v>
                </c:pt>
                <c:pt idx="5">
                  <c:v>16.666666666666657</c:v>
                </c:pt>
                <c:pt idx="6">
                  <c:v>22.222222222222214</c:v>
                </c:pt>
                <c:pt idx="7">
                  <c:v>11.111111111111114</c:v>
                </c:pt>
                <c:pt idx="8">
                  <c:v>16.666666666666657</c:v>
                </c:pt>
                <c:pt idx="9">
                  <c:v>22.222222222222214</c:v>
                </c:pt>
                <c:pt idx="10">
                  <c:v>5.5555555555555571</c:v>
                </c:pt>
                <c:pt idx="11">
                  <c:v>33.333333333333343</c:v>
                </c:pt>
                <c:pt idx="12">
                  <c:v>33.333333333333343</c:v>
                </c:pt>
                <c:pt idx="13">
                  <c:v>33.333333333333343</c:v>
                </c:pt>
                <c:pt idx="14">
                  <c:v>16.666666666666657</c:v>
                </c:pt>
                <c:pt idx="15">
                  <c:v>11.111111111111114</c:v>
                </c:pt>
                <c:pt idx="16">
                  <c:v>16.666666666666657</c:v>
                </c:pt>
                <c:pt idx="17">
                  <c:v>55.555555555555557</c:v>
                </c:pt>
                <c:pt idx="18">
                  <c:v>44.444444444444443</c:v>
                </c:pt>
                <c:pt idx="19">
                  <c:v>27.777777777777786</c:v>
                </c:pt>
                <c:pt idx="20">
                  <c:v>27.777777777777786</c:v>
                </c:pt>
                <c:pt idx="21">
                  <c:v>33.333333333333343</c:v>
                </c:pt>
                <c:pt idx="22">
                  <c:v>27.777777777777786</c:v>
                </c:pt>
                <c:pt idx="23">
                  <c:v>22.222222222222214</c:v>
                </c:pt>
                <c:pt idx="24">
                  <c:v>27.777777777777786</c:v>
                </c:pt>
                <c:pt idx="25">
                  <c:v>11.111111111111114</c:v>
                </c:pt>
                <c:pt idx="26">
                  <c:v>16.666666666666657</c:v>
                </c:pt>
                <c:pt idx="27">
                  <c:v>22.222222222222214</c:v>
                </c:pt>
                <c:pt idx="28">
                  <c:v>5.5555555555555571</c:v>
                </c:pt>
                <c:pt idx="29">
                  <c:v>22.222222222222214</c:v>
                </c:pt>
                <c:pt idx="30">
                  <c:v>16.666666666666657</c:v>
                </c:pt>
                <c:pt idx="31">
                  <c:v>5.5555555555555571</c:v>
                </c:pt>
                <c:pt idx="32">
                  <c:v>27.777777777777786</c:v>
                </c:pt>
                <c:pt idx="33">
                  <c:v>50</c:v>
                </c:pt>
                <c:pt idx="34">
                  <c:v>0</c:v>
                </c:pt>
                <c:pt idx="35">
                  <c:v>0</c:v>
                </c:pt>
                <c:pt idx="36">
                  <c:v>0</c:v>
                </c:pt>
                <c:pt idx="37">
                  <c:v>0</c:v>
                </c:pt>
                <c:pt idx="38">
                  <c:v>0</c:v>
                </c:pt>
                <c:pt idx="39">
                  <c:v>0</c:v>
                </c:pt>
              </c:numCache>
            </c:numRef>
          </c:val>
        </c:ser>
        <c:ser>
          <c:idx val="2"/>
          <c:order val="2"/>
          <c:tx>
            <c:strRef>
              <c:f>Ученик!$H$3</c:f>
              <c:strCache>
                <c:ptCount val="1"/>
                <c:pt idx="0">
                  <c:v>Процент выполнения заданий повышенного уровня</c:v>
                </c:pt>
              </c:strCache>
            </c:strRef>
          </c:tx>
          <c:spPr>
            <a:solidFill>
              <a:schemeClr val="accent2">
                <a:lumMod val="75000"/>
              </a:schemeClr>
            </a:solidFill>
          </c:spPr>
          <c:invertIfNegative val="0"/>
          <c:val>
            <c:numRef>
              <c:f>Ученик!$H$4:$H$43</c:f>
              <c:numCache>
                <c:formatCode>0.0</c:formatCode>
                <c:ptCount val="40"/>
                <c:pt idx="0">
                  <c:v>58.333333333333336</c:v>
                </c:pt>
                <c:pt idx="1">
                  <c:v>66.666666666666657</c:v>
                </c:pt>
                <c:pt idx="2">
                  <c:v>100</c:v>
                </c:pt>
                <c:pt idx="3">
                  <c:v>100</c:v>
                </c:pt>
                <c:pt idx="4">
                  <c:v>13.333333333333334</c:v>
                </c:pt>
                <c:pt idx="5">
                  <c:v>33.333333333333329</c:v>
                </c:pt>
                <c:pt idx="6">
                  <c:v>66.666666666666657</c:v>
                </c:pt>
                <c:pt idx="7">
                  <c:v>100</c:v>
                </c:pt>
                <c:pt idx="8">
                  <c:v>65</c:v>
                </c:pt>
                <c:pt idx="9">
                  <c:v>20.000000000000004</c:v>
                </c:pt>
                <c:pt idx="10">
                  <c:v>20.000000000000004</c:v>
                </c:pt>
                <c:pt idx="11">
                  <c:v>80</c:v>
                </c:pt>
                <c:pt idx="12">
                  <c:v>0</c:v>
                </c:pt>
                <c:pt idx="13">
                  <c:v>0</c:v>
                </c:pt>
                <c:pt idx="14">
                  <c:v>80</c:v>
                </c:pt>
                <c:pt idx="15">
                  <c:v>36.666666666666671</c:v>
                </c:pt>
                <c:pt idx="16">
                  <c:v>0</c:v>
                </c:pt>
                <c:pt idx="17">
                  <c:v>0</c:v>
                </c:pt>
                <c:pt idx="18">
                  <c:v>40</c:v>
                </c:pt>
                <c:pt idx="19">
                  <c:v>33.333333333333329</c:v>
                </c:pt>
                <c:pt idx="20">
                  <c:v>40</c:v>
                </c:pt>
                <c:pt idx="21">
                  <c:v>80</c:v>
                </c:pt>
                <c:pt idx="22">
                  <c:v>6.666666666666667</c:v>
                </c:pt>
                <c:pt idx="23">
                  <c:v>0</c:v>
                </c:pt>
                <c:pt idx="24">
                  <c:v>58.333333333333336</c:v>
                </c:pt>
                <c:pt idx="25">
                  <c:v>100</c:v>
                </c:pt>
                <c:pt idx="26">
                  <c:v>53.333333333333336</c:v>
                </c:pt>
                <c:pt idx="27">
                  <c:v>46.666666666666664</c:v>
                </c:pt>
                <c:pt idx="28">
                  <c:v>6.666666666666667</c:v>
                </c:pt>
                <c:pt idx="29">
                  <c:v>0</c:v>
                </c:pt>
                <c:pt idx="30">
                  <c:v>100</c:v>
                </c:pt>
                <c:pt idx="31">
                  <c:v>46.666666666666664</c:v>
                </c:pt>
                <c:pt idx="32">
                  <c:v>80</c:v>
                </c:pt>
                <c:pt idx="33">
                  <c:v>0</c:v>
                </c:pt>
                <c:pt idx="34">
                  <c:v>0</c:v>
                </c:pt>
                <c:pt idx="35">
                  <c:v>0</c:v>
                </c:pt>
                <c:pt idx="36">
                  <c:v>0</c:v>
                </c:pt>
                <c:pt idx="37">
                  <c:v>0</c:v>
                </c:pt>
                <c:pt idx="38">
                  <c:v>0</c:v>
                </c:pt>
                <c:pt idx="39">
                  <c:v>0</c:v>
                </c:pt>
              </c:numCache>
            </c:numRef>
          </c:val>
        </c:ser>
        <c:ser>
          <c:idx val="3"/>
          <c:order val="3"/>
          <c:tx>
            <c:strRef>
              <c:f>Ученик!$I$3</c:f>
              <c:strCache>
                <c:ptCount val="1"/>
                <c:pt idx="0">
                  <c:v>100</c:v>
                </c:pt>
              </c:strCache>
            </c:strRef>
          </c:tx>
          <c:spPr>
            <a:solidFill>
              <a:schemeClr val="accent2">
                <a:lumMod val="20000"/>
                <a:lumOff val="80000"/>
              </a:schemeClr>
            </a:solidFill>
            <a:ln>
              <a:solidFill>
                <a:srgbClr val="C00000"/>
              </a:solidFill>
              <a:prstDash val="dashDot"/>
            </a:ln>
          </c:spPr>
          <c:invertIfNegative val="0"/>
          <c:val>
            <c:numRef>
              <c:f>Ученик!$I$4:$I$43</c:f>
              <c:numCache>
                <c:formatCode>0.0</c:formatCode>
                <c:ptCount val="40"/>
                <c:pt idx="0">
                  <c:v>41.666666666666664</c:v>
                </c:pt>
                <c:pt idx="1">
                  <c:v>33.333333333333343</c:v>
                </c:pt>
                <c:pt idx="2">
                  <c:v>0</c:v>
                </c:pt>
                <c:pt idx="3">
                  <c:v>0</c:v>
                </c:pt>
                <c:pt idx="4">
                  <c:v>86.666666666666671</c:v>
                </c:pt>
                <c:pt idx="5">
                  <c:v>66.666666666666671</c:v>
                </c:pt>
                <c:pt idx="6">
                  <c:v>33.333333333333343</c:v>
                </c:pt>
                <c:pt idx="7">
                  <c:v>0</c:v>
                </c:pt>
                <c:pt idx="8">
                  <c:v>35</c:v>
                </c:pt>
                <c:pt idx="9">
                  <c:v>80</c:v>
                </c:pt>
                <c:pt idx="10">
                  <c:v>80</c:v>
                </c:pt>
                <c:pt idx="11">
                  <c:v>20</c:v>
                </c:pt>
                <c:pt idx="12">
                  <c:v>100</c:v>
                </c:pt>
                <c:pt idx="13">
                  <c:v>100</c:v>
                </c:pt>
                <c:pt idx="14">
                  <c:v>20</c:v>
                </c:pt>
                <c:pt idx="15">
                  <c:v>63.333333333333329</c:v>
                </c:pt>
                <c:pt idx="16">
                  <c:v>100</c:v>
                </c:pt>
                <c:pt idx="17">
                  <c:v>100</c:v>
                </c:pt>
                <c:pt idx="18">
                  <c:v>60</c:v>
                </c:pt>
                <c:pt idx="19">
                  <c:v>66.666666666666671</c:v>
                </c:pt>
                <c:pt idx="20">
                  <c:v>60</c:v>
                </c:pt>
                <c:pt idx="21">
                  <c:v>20</c:v>
                </c:pt>
                <c:pt idx="22">
                  <c:v>93.333333333333329</c:v>
                </c:pt>
                <c:pt idx="23">
                  <c:v>100</c:v>
                </c:pt>
                <c:pt idx="24">
                  <c:v>41.666666666666664</c:v>
                </c:pt>
                <c:pt idx="25">
                  <c:v>0</c:v>
                </c:pt>
                <c:pt idx="26">
                  <c:v>46.666666666666664</c:v>
                </c:pt>
                <c:pt idx="27">
                  <c:v>53.333333333333336</c:v>
                </c:pt>
                <c:pt idx="28">
                  <c:v>93.333333333333329</c:v>
                </c:pt>
                <c:pt idx="29">
                  <c:v>100</c:v>
                </c:pt>
                <c:pt idx="30">
                  <c:v>0</c:v>
                </c:pt>
                <c:pt idx="31">
                  <c:v>53.333333333333336</c:v>
                </c:pt>
                <c:pt idx="32">
                  <c:v>20</c:v>
                </c:pt>
                <c:pt idx="33">
                  <c:v>100</c:v>
                </c:pt>
                <c:pt idx="34">
                  <c:v>0</c:v>
                </c:pt>
                <c:pt idx="35">
                  <c:v>0</c:v>
                </c:pt>
                <c:pt idx="36">
                  <c:v>0</c:v>
                </c:pt>
                <c:pt idx="37">
                  <c:v>0</c:v>
                </c:pt>
                <c:pt idx="38">
                  <c:v>0</c:v>
                </c:pt>
                <c:pt idx="39">
                  <c:v>0</c:v>
                </c:pt>
              </c:numCache>
            </c:numRef>
          </c:val>
        </c:ser>
        <c:dLbls>
          <c:showLegendKey val="0"/>
          <c:showVal val="0"/>
          <c:showCatName val="0"/>
          <c:showSerName val="0"/>
          <c:showPercent val="0"/>
          <c:showBubbleSize val="0"/>
        </c:dLbls>
        <c:gapWidth val="150"/>
        <c:overlap val="100"/>
        <c:axId val="41177600"/>
        <c:axId val="114636416"/>
      </c:barChart>
      <c:lineChart>
        <c:grouping val="standard"/>
        <c:varyColors val="0"/>
        <c:ser>
          <c:idx val="4"/>
          <c:order val="4"/>
          <c:tx>
            <c:strRef>
              <c:f>Ученик!$J$3</c:f>
              <c:strCache>
                <c:ptCount val="1"/>
                <c:pt idx="0">
                  <c:v>1</c:v>
                </c:pt>
              </c:strCache>
            </c:strRef>
          </c:tx>
          <c:spPr>
            <a:ln>
              <a:solidFill>
                <a:schemeClr val="accent4">
                  <a:lumMod val="50000"/>
                </a:schemeClr>
              </a:solidFill>
            </a:ln>
          </c:spPr>
          <c:marker>
            <c:symbol val="none"/>
          </c:marker>
          <c:val>
            <c:numRef>
              <c:f>Ученик!$J$4:$J$43</c:f>
              <c:numCache>
                <c:formatCode>0.0</c:formatCode>
                <c:ptCount val="4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numCache>
            </c:numRef>
          </c:val>
          <c:smooth val="0"/>
        </c:ser>
        <c:dLbls>
          <c:showLegendKey val="0"/>
          <c:showVal val="0"/>
          <c:showCatName val="0"/>
          <c:showSerName val="0"/>
          <c:showPercent val="0"/>
          <c:showBubbleSize val="0"/>
        </c:dLbls>
        <c:marker val="1"/>
        <c:smooth val="0"/>
        <c:axId val="41177600"/>
        <c:axId val="114636416"/>
      </c:lineChart>
      <c:catAx>
        <c:axId val="41177600"/>
        <c:scaling>
          <c:orientation val="minMax"/>
        </c:scaling>
        <c:delete val="0"/>
        <c:axPos val="b"/>
        <c:title>
          <c:tx>
            <c:rich>
              <a:bodyPr/>
              <a:lstStyle/>
              <a:p>
                <a:pPr>
                  <a:defRPr sz="1400"/>
                </a:pPr>
                <a:r>
                  <a:rPr lang="ru-RU" sz="1400"/>
                  <a:t>Номер ученика по журналу</a:t>
                </a:r>
              </a:p>
            </c:rich>
          </c:tx>
          <c:overlay val="0"/>
        </c:title>
        <c:majorTickMark val="out"/>
        <c:minorTickMark val="none"/>
        <c:tickLblPos val="nextTo"/>
        <c:crossAx val="114636416"/>
        <c:crosses val="autoZero"/>
        <c:auto val="1"/>
        <c:lblAlgn val="ctr"/>
        <c:lblOffset val="100"/>
        <c:noMultiLvlLbl val="0"/>
      </c:catAx>
      <c:valAx>
        <c:axId val="114636416"/>
        <c:scaling>
          <c:orientation val="minMax"/>
          <c:max val="200"/>
        </c:scaling>
        <c:delete val="1"/>
        <c:axPos val="l"/>
        <c:majorGridlines/>
        <c:title>
          <c:tx>
            <c:rich>
              <a:bodyPr rot="-5400000" vert="horz"/>
              <a:lstStyle/>
              <a:p>
                <a:pPr>
                  <a:defRPr sz="1400" b="0">
                    <a:latin typeface="+mj-lt"/>
                  </a:defRPr>
                </a:pPr>
                <a:r>
                  <a:rPr lang="ru-RU" sz="1400" b="0">
                    <a:latin typeface="+mj-lt"/>
                  </a:rPr>
                  <a:t>Базовый уровень                Повышенный уровень</a:t>
                </a:r>
              </a:p>
            </c:rich>
          </c:tx>
          <c:layout>
            <c:manualLayout>
              <c:xMode val="edge"/>
              <c:yMode val="edge"/>
              <c:x val="3.2280703196525325E-2"/>
              <c:y val="5.5381524531296834E-2"/>
            </c:manualLayout>
          </c:layout>
          <c:overlay val="0"/>
        </c:title>
        <c:numFmt formatCode="0.0" sourceLinked="1"/>
        <c:majorTickMark val="out"/>
        <c:minorTickMark val="none"/>
        <c:tickLblPos val="nextTo"/>
        <c:crossAx val="41177600"/>
        <c:crosses val="autoZero"/>
        <c:crossBetween val="between"/>
      </c:valAx>
    </c:plotArea>
    <c:legend>
      <c:legendPos val="r"/>
      <c:legendEntry>
        <c:idx val="0"/>
        <c:delete val="1"/>
      </c:legendEntry>
      <c:legendEntry>
        <c:idx val="2"/>
        <c:delete val="1"/>
      </c:legendEntry>
      <c:legendEntry>
        <c:idx val="4"/>
        <c:delete val="1"/>
      </c:legendEntry>
      <c:layout>
        <c:manualLayout>
          <c:xMode val="edge"/>
          <c:yMode val="edge"/>
          <c:x val="2.7156108975885322E-2"/>
          <c:y val="0.90716979227999761"/>
          <c:w val="0.94381371177511242"/>
          <c:h val="7.1840221637699903E-2"/>
        </c:manualLayout>
      </c:layout>
      <c:overlay val="0"/>
      <c:txPr>
        <a:bodyPr/>
        <a:lstStyle/>
        <a:p>
          <a:pPr>
            <a:defRPr sz="1400"/>
          </a:pPr>
          <a:endParaRPr lang="ru-RU"/>
        </a:p>
      </c:txPr>
    </c:legend>
    <c:plotVisOnly val="0"/>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ru-RU"/>
        </a:p>
      </c:txPr>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Критерии!$B$9</c:f>
              <c:strCache>
                <c:ptCount val="1"/>
                <c:pt idx="0">
                  <c:v>Доля учащихся выполнивших критерий</c:v>
                </c:pt>
              </c:strCache>
            </c:strRef>
          </c:tx>
          <c:invertIfNegative val="0"/>
          <c:cat>
            <c:strRef>
              <c:f>Критерии!$C$7:$G$7</c:f>
              <c:strCache>
                <c:ptCount val="5"/>
                <c:pt idx="0">
                  <c:v>19.1</c:v>
                </c:pt>
                <c:pt idx="1">
                  <c:v>19.2</c:v>
                </c:pt>
                <c:pt idx="2">
                  <c:v>19.3</c:v>
                </c:pt>
                <c:pt idx="3">
                  <c:v>19.4</c:v>
                </c:pt>
                <c:pt idx="4">
                  <c:v>19.5</c:v>
                </c:pt>
              </c:strCache>
            </c:strRef>
          </c:cat>
          <c:val>
            <c:numRef>
              <c:f>Критерии!$C$9:$G$9</c:f>
              <c:numCache>
                <c:formatCode>0.00</c:formatCode>
                <c:ptCount val="5"/>
                <c:pt idx="0">
                  <c:v>76.470588235294116</c:v>
                </c:pt>
                <c:pt idx="1">
                  <c:v>61.764705882352942</c:v>
                </c:pt>
                <c:pt idx="2">
                  <c:v>41.17647058823529</c:v>
                </c:pt>
                <c:pt idx="3">
                  <c:v>29.411764705882355</c:v>
                </c:pt>
                <c:pt idx="4">
                  <c:v>29.411764705882355</c:v>
                </c:pt>
              </c:numCache>
            </c:numRef>
          </c:val>
        </c:ser>
        <c:dLbls>
          <c:showLegendKey val="0"/>
          <c:showVal val="0"/>
          <c:showCatName val="0"/>
          <c:showSerName val="0"/>
          <c:showPercent val="0"/>
          <c:showBubbleSize val="0"/>
        </c:dLbls>
        <c:gapWidth val="150"/>
        <c:shape val="box"/>
        <c:axId val="119479808"/>
        <c:axId val="119734272"/>
        <c:axId val="0"/>
      </c:bar3DChart>
      <c:catAx>
        <c:axId val="119479808"/>
        <c:scaling>
          <c:orientation val="minMax"/>
        </c:scaling>
        <c:delete val="0"/>
        <c:axPos val="l"/>
        <c:title>
          <c:tx>
            <c:rich>
              <a:bodyPr rot="-5400000" vert="horz"/>
              <a:lstStyle/>
              <a:p>
                <a:pPr>
                  <a:defRPr sz="1200">
                    <a:latin typeface="+mj-lt"/>
                  </a:defRPr>
                </a:pPr>
                <a:r>
                  <a:rPr lang="ru-RU" sz="1200">
                    <a:latin typeface="+mj-lt"/>
                  </a:rPr>
                  <a:t>Номер критерия</a:t>
                </a:r>
              </a:p>
            </c:rich>
          </c:tx>
          <c:overlay val="0"/>
        </c:title>
        <c:majorTickMark val="out"/>
        <c:minorTickMark val="none"/>
        <c:tickLblPos val="nextTo"/>
        <c:txPr>
          <a:bodyPr/>
          <a:lstStyle/>
          <a:p>
            <a:pPr>
              <a:defRPr sz="1050"/>
            </a:pPr>
            <a:endParaRPr lang="ru-RU"/>
          </a:p>
        </c:txPr>
        <c:crossAx val="119734272"/>
        <c:crosses val="autoZero"/>
        <c:auto val="1"/>
        <c:lblAlgn val="ctr"/>
        <c:lblOffset val="100"/>
        <c:noMultiLvlLbl val="0"/>
      </c:catAx>
      <c:valAx>
        <c:axId val="119734272"/>
        <c:scaling>
          <c:orientation val="minMax"/>
        </c:scaling>
        <c:delete val="0"/>
        <c:axPos val="b"/>
        <c:majorGridlines/>
        <c:numFmt formatCode="0" sourceLinked="0"/>
        <c:majorTickMark val="out"/>
        <c:minorTickMark val="none"/>
        <c:tickLblPos val="nextTo"/>
        <c:crossAx val="11947980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ru-RU"/>
        </a:p>
      </c:txPr>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Критерии!$B$53</c:f>
              <c:strCache>
                <c:ptCount val="1"/>
                <c:pt idx="0">
                  <c:v>Доля учащихся выполнивших критерий</c:v>
                </c:pt>
              </c:strCache>
            </c:strRef>
          </c:tx>
          <c:spPr>
            <a:solidFill>
              <a:schemeClr val="accent2">
                <a:lumMod val="60000"/>
                <a:lumOff val="40000"/>
              </a:schemeClr>
            </a:solidFill>
          </c:spPr>
          <c:invertIfNegative val="0"/>
          <c:cat>
            <c:strRef>
              <c:f>Критерии!$C$51:$F$51</c:f>
              <c:strCache>
                <c:ptCount val="4"/>
                <c:pt idx="0">
                  <c:v>20.1</c:v>
                </c:pt>
                <c:pt idx="1">
                  <c:v>20.2</c:v>
                </c:pt>
                <c:pt idx="2">
                  <c:v>20.3</c:v>
                </c:pt>
                <c:pt idx="3">
                  <c:v>20.4</c:v>
                </c:pt>
              </c:strCache>
            </c:strRef>
          </c:cat>
          <c:val>
            <c:numRef>
              <c:f>Критерии!$C$53:$F$53</c:f>
              <c:numCache>
                <c:formatCode>0.00</c:formatCode>
                <c:ptCount val="4"/>
                <c:pt idx="0">
                  <c:v>52.941176470588239</c:v>
                </c:pt>
                <c:pt idx="1">
                  <c:v>55.882352941176471</c:v>
                </c:pt>
                <c:pt idx="2">
                  <c:v>52.941176470588239</c:v>
                </c:pt>
                <c:pt idx="3">
                  <c:v>52.941176470588239</c:v>
                </c:pt>
              </c:numCache>
            </c:numRef>
          </c:val>
        </c:ser>
        <c:dLbls>
          <c:showLegendKey val="0"/>
          <c:showVal val="0"/>
          <c:showCatName val="0"/>
          <c:showSerName val="0"/>
          <c:showPercent val="0"/>
          <c:showBubbleSize val="0"/>
        </c:dLbls>
        <c:gapWidth val="150"/>
        <c:shape val="box"/>
        <c:axId val="119694848"/>
        <c:axId val="119736000"/>
        <c:axId val="0"/>
      </c:bar3DChart>
      <c:catAx>
        <c:axId val="119694848"/>
        <c:scaling>
          <c:orientation val="minMax"/>
        </c:scaling>
        <c:delete val="0"/>
        <c:axPos val="l"/>
        <c:title>
          <c:tx>
            <c:rich>
              <a:bodyPr rot="-5400000" vert="horz"/>
              <a:lstStyle/>
              <a:p>
                <a:pPr>
                  <a:defRPr sz="1100">
                    <a:latin typeface="+mj-lt"/>
                  </a:defRPr>
                </a:pPr>
                <a:r>
                  <a:rPr lang="ru-RU" sz="1100">
                    <a:latin typeface="+mj-lt"/>
                  </a:rPr>
                  <a:t>Номер критерия</a:t>
                </a:r>
              </a:p>
            </c:rich>
          </c:tx>
          <c:overlay val="0"/>
        </c:title>
        <c:majorTickMark val="out"/>
        <c:minorTickMark val="none"/>
        <c:tickLblPos val="nextTo"/>
        <c:txPr>
          <a:bodyPr/>
          <a:lstStyle/>
          <a:p>
            <a:pPr>
              <a:defRPr sz="1100"/>
            </a:pPr>
            <a:endParaRPr lang="ru-RU"/>
          </a:p>
        </c:txPr>
        <c:crossAx val="119736000"/>
        <c:crosses val="autoZero"/>
        <c:auto val="1"/>
        <c:lblAlgn val="ctr"/>
        <c:lblOffset val="100"/>
        <c:noMultiLvlLbl val="0"/>
      </c:catAx>
      <c:valAx>
        <c:axId val="119736000"/>
        <c:scaling>
          <c:orientation val="minMax"/>
        </c:scaling>
        <c:delete val="0"/>
        <c:axPos val="b"/>
        <c:majorGridlines/>
        <c:numFmt formatCode="0" sourceLinked="0"/>
        <c:majorTickMark val="out"/>
        <c:minorTickMark val="none"/>
        <c:tickLblPos val="nextTo"/>
        <c:crossAx val="119694848"/>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ru-RU"/>
        </a:p>
      </c:txPr>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Критерии!$B$102</c:f>
              <c:strCache>
                <c:ptCount val="1"/>
                <c:pt idx="0">
                  <c:v>Доля учащихся выполнивших критерий</c:v>
                </c:pt>
              </c:strCache>
            </c:strRef>
          </c:tx>
          <c:spPr>
            <a:solidFill>
              <a:schemeClr val="accent3">
                <a:lumMod val="60000"/>
                <a:lumOff val="40000"/>
              </a:schemeClr>
            </a:solidFill>
          </c:spPr>
          <c:invertIfNegative val="0"/>
          <c:cat>
            <c:strRef>
              <c:f>Критерии!$C$100:$F$100</c:f>
              <c:strCache>
                <c:ptCount val="4"/>
                <c:pt idx="0">
                  <c:v>21.1</c:v>
                </c:pt>
                <c:pt idx="1">
                  <c:v>21.2</c:v>
                </c:pt>
                <c:pt idx="2">
                  <c:v>21.3</c:v>
                </c:pt>
                <c:pt idx="3">
                  <c:v>21.4</c:v>
                </c:pt>
              </c:strCache>
            </c:strRef>
          </c:cat>
          <c:val>
            <c:numRef>
              <c:f>Критерии!$C$102:$F$102</c:f>
              <c:numCache>
                <c:formatCode>0.00</c:formatCode>
                <c:ptCount val="4"/>
                <c:pt idx="0">
                  <c:v>35.294117647058826</c:v>
                </c:pt>
                <c:pt idx="1">
                  <c:v>35.294117647058826</c:v>
                </c:pt>
                <c:pt idx="2">
                  <c:v>35.294117647058826</c:v>
                </c:pt>
                <c:pt idx="3">
                  <c:v>29.411764705882355</c:v>
                </c:pt>
              </c:numCache>
            </c:numRef>
          </c:val>
        </c:ser>
        <c:dLbls>
          <c:showLegendKey val="0"/>
          <c:showVal val="0"/>
          <c:showCatName val="0"/>
          <c:showSerName val="0"/>
          <c:showPercent val="0"/>
          <c:showBubbleSize val="0"/>
        </c:dLbls>
        <c:gapWidth val="150"/>
        <c:shape val="box"/>
        <c:axId val="119695360"/>
        <c:axId val="119737728"/>
        <c:axId val="0"/>
      </c:bar3DChart>
      <c:catAx>
        <c:axId val="119695360"/>
        <c:scaling>
          <c:orientation val="minMax"/>
        </c:scaling>
        <c:delete val="0"/>
        <c:axPos val="l"/>
        <c:title>
          <c:tx>
            <c:rich>
              <a:bodyPr rot="-5400000" vert="horz"/>
              <a:lstStyle/>
              <a:p>
                <a:pPr>
                  <a:defRPr sz="1100">
                    <a:latin typeface="+mj-lt"/>
                  </a:defRPr>
                </a:pPr>
                <a:r>
                  <a:rPr lang="ru-RU" sz="1100">
                    <a:latin typeface="+mj-lt"/>
                  </a:rPr>
                  <a:t>Номер критерия</a:t>
                </a:r>
              </a:p>
            </c:rich>
          </c:tx>
          <c:overlay val="0"/>
        </c:title>
        <c:majorTickMark val="out"/>
        <c:minorTickMark val="none"/>
        <c:tickLblPos val="nextTo"/>
        <c:txPr>
          <a:bodyPr/>
          <a:lstStyle/>
          <a:p>
            <a:pPr>
              <a:defRPr sz="1100"/>
            </a:pPr>
            <a:endParaRPr lang="ru-RU"/>
          </a:p>
        </c:txPr>
        <c:crossAx val="119737728"/>
        <c:crosses val="autoZero"/>
        <c:auto val="1"/>
        <c:lblAlgn val="ctr"/>
        <c:lblOffset val="100"/>
        <c:noMultiLvlLbl val="0"/>
      </c:catAx>
      <c:valAx>
        <c:axId val="119737728"/>
        <c:scaling>
          <c:orientation val="minMax"/>
        </c:scaling>
        <c:delete val="0"/>
        <c:axPos val="b"/>
        <c:majorGridlines/>
        <c:numFmt formatCode="0" sourceLinked="0"/>
        <c:majorTickMark val="out"/>
        <c:minorTickMark val="none"/>
        <c:tickLblPos val="nextTo"/>
        <c:crossAx val="119695360"/>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ru-RU"/>
              <a:t>Проверяемое содержание (базовый уровнь)</a:t>
            </a:r>
          </a:p>
        </c:rich>
      </c:tx>
      <c:overlay val="0"/>
    </c:title>
    <c:autoTitleDeleted val="0"/>
    <c:plotArea>
      <c:layout>
        <c:manualLayout>
          <c:layoutTarget val="inner"/>
          <c:xMode val="edge"/>
          <c:yMode val="edge"/>
          <c:x val="0.16550690891265052"/>
          <c:y val="0.12206480425845957"/>
          <c:w val="0.80730434960221409"/>
          <c:h val="0.6893881750214611"/>
        </c:manualLayout>
      </c:layout>
      <c:barChart>
        <c:barDir val="bar"/>
        <c:grouping val="clustered"/>
        <c:varyColors val="0"/>
        <c:ser>
          <c:idx val="0"/>
          <c:order val="0"/>
          <c:tx>
            <c:strRef>
              <c:f>КИМ!$E$9</c:f>
              <c:strCache>
                <c:ptCount val="1"/>
                <c:pt idx="0">
                  <c:v>доля</c:v>
                </c:pt>
              </c:strCache>
            </c:strRef>
          </c:tx>
          <c:invertIfNegative val="0"/>
          <c:cat>
            <c:strRef>
              <c:f>КИМ!$B$11:$B$13</c:f>
              <c:strCache>
                <c:ptCount val="3"/>
                <c:pt idx="0">
                  <c:v>Алгебра</c:v>
                </c:pt>
                <c:pt idx="1">
                  <c:v>Геометрия</c:v>
                </c:pt>
                <c:pt idx="2">
                  <c:v>Реальная математика</c:v>
                </c:pt>
              </c:strCache>
            </c:strRef>
          </c:cat>
          <c:val>
            <c:numRef>
              <c:f>КИМ!$E$11:$E$13</c:f>
              <c:numCache>
                <c:formatCode>0.00%</c:formatCode>
                <c:ptCount val="3"/>
                <c:pt idx="0">
                  <c:v>0.82679738562091498</c:v>
                </c:pt>
                <c:pt idx="1">
                  <c:v>0.63235294117647056</c:v>
                </c:pt>
                <c:pt idx="2" formatCode="0.0%">
                  <c:v>0.89215686274509809</c:v>
                </c:pt>
              </c:numCache>
            </c:numRef>
          </c:val>
        </c:ser>
        <c:dLbls>
          <c:showLegendKey val="0"/>
          <c:showVal val="0"/>
          <c:showCatName val="0"/>
          <c:showSerName val="0"/>
          <c:showPercent val="0"/>
          <c:showBubbleSize val="0"/>
        </c:dLbls>
        <c:gapWidth val="150"/>
        <c:axId val="119477760"/>
        <c:axId val="119739456"/>
      </c:barChart>
      <c:catAx>
        <c:axId val="119477760"/>
        <c:scaling>
          <c:orientation val="minMax"/>
        </c:scaling>
        <c:delete val="0"/>
        <c:axPos val="l"/>
        <c:numFmt formatCode="General" sourceLinked="1"/>
        <c:majorTickMark val="none"/>
        <c:minorTickMark val="none"/>
        <c:tickLblPos val="nextTo"/>
        <c:txPr>
          <a:bodyPr/>
          <a:lstStyle/>
          <a:p>
            <a:pPr>
              <a:defRPr sz="1100">
                <a:latin typeface="+mj-lt"/>
              </a:defRPr>
            </a:pPr>
            <a:endParaRPr lang="ru-RU"/>
          </a:p>
        </c:txPr>
        <c:crossAx val="119739456"/>
        <c:crosses val="autoZero"/>
        <c:auto val="1"/>
        <c:lblAlgn val="ctr"/>
        <c:lblOffset val="100"/>
        <c:noMultiLvlLbl val="0"/>
      </c:catAx>
      <c:valAx>
        <c:axId val="119739456"/>
        <c:scaling>
          <c:orientation val="minMax"/>
          <c:max val="1"/>
        </c:scaling>
        <c:delete val="0"/>
        <c:axPos val="b"/>
        <c:majorGridlines/>
        <c:numFmt formatCode="0%" sourceLinked="0"/>
        <c:majorTickMark val="none"/>
        <c:minorTickMark val="none"/>
        <c:tickLblPos val="nextTo"/>
        <c:txPr>
          <a:bodyPr/>
          <a:lstStyle/>
          <a:p>
            <a:pPr>
              <a:defRPr sz="1100"/>
            </a:pPr>
            <a:endParaRPr lang="ru-RU"/>
          </a:p>
        </c:txPr>
        <c:crossAx val="119477760"/>
        <c:crosses val="autoZero"/>
        <c:crossBetween val="between"/>
      </c:valAx>
      <c:dTable>
        <c:showHorzBorder val="1"/>
        <c:showVertBorder val="1"/>
        <c:showOutline val="1"/>
        <c:showKeys val="1"/>
        <c:txPr>
          <a:bodyPr/>
          <a:lstStyle/>
          <a:p>
            <a:pPr rtl="0">
              <a:defRPr sz="1100" b="1"/>
            </a:pPr>
            <a:endParaRPr lang="ru-RU"/>
          </a:p>
        </c:txPr>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ru-RU" sz="1600" b="1" i="0" baseline="0">
                <a:effectLst/>
              </a:rPr>
              <a:t>Решаемость заданий по математике в сравнении с "коридором" ожидаемой решаемости </a:t>
            </a:r>
            <a:endParaRPr lang="ru-RU" sz="1600">
              <a:effectLst/>
            </a:endParaRPr>
          </a:p>
        </c:rich>
      </c:tx>
      <c:layout>
        <c:manualLayout>
          <c:xMode val="edge"/>
          <c:yMode val="edge"/>
          <c:x val="0.11397281775421637"/>
          <c:y val="1.7638906247830134E-2"/>
        </c:manualLayout>
      </c:layout>
      <c:overlay val="0"/>
    </c:title>
    <c:autoTitleDeleted val="0"/>
    <c:plotArea>
      <c:layout>
        <c:manualLayout>
          <c:layoutTarget val="inner"/>
          <c:xMode val="edge"/>
          <c:yMode val="edge"/>
          <c:x val="2.5455594793919456E-2"/>
          <c:y val="8.8365451388888891E-2"/>
          <c:w val="0.96550764317947313"/>
          <c:h val="0.75303448180088584"/>
        </c:manualLayout>
      </c:layout>
      <c:areaChart>
        <c:grouping val="stacked"/>
        <c:varyColors val="0"/>
        <c:ser>
          <c:idx val="0"/>
          <c:order val="0"/>
          <c:tx>
            <c:v>Границы коридора "ожидаемой" решаемости"</c:v>
          </c:tx>
          <c:spPr>
            <a:noFill/>
          </c:spPr>
          <c:cat>
            <c:numRef>
              <c:f>Коридор!$C$4:$W$4</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cat>
          <c:val>
            <c:numRef>
              <c:f>Коридор!$C$9:$W$9</c:f>
              <c:numCache>
                <c:formatCode>0%</c:formatCode>
                <c:ptCount val="21"/>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0.4</c:v>
                </c:pt>
                <c:pt idx="19">
                  <c:v>0.4</c:v>
                </c:pt>
                <c:pt idx="20">
                  <c:v>0.4</c:v>
                </c:pt>
              </c:numCache>
            </c:numRef>
          </c:val>
        </c:ser>
        <c:ser>
          <c:idx val="1"/>
          <c:order val="1"/>
          <c:tx>
            <c:v>Границы коридора "ожидаемой" решаемости</c:v>
          </c:tx>
          <c:spPr>
            <a:gradFill>
              <a:gsLst>
                <a:gs pos="0">
                  <a:schemeClr val="accent1">
                    <a:tint val="66000"/>
                    <a:satMod val="160000"/>
                  </a:schemeClr>
                </a:gs>
                <a:gs pos="65000">
                  <a:schemeClr val="accent1">
                    <a:tint val="44500"/>
                    <a:satMod val="160000"/>
                  </a:schemeClr>
                </a:gs>
                <a:gs pos="100000">
                  <a:schemeClr val="accent1">
                    <a:tint val="23500"/>
                    <a:satMod val="160000"/>
                  </a:schemeClr>
                </a:gs>
              </a:gsLst>
              <a:lin ang="5400000" scaled="0"/>
            </a:gradFill>
          </c:spPr>
          <c:cat>
            <c:numRef>
              <c:f>Коридор!$C$4:$W$4</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cat>
          <c:val>
            <c:numRef>
              <c:f>Коридор!$C$8:$W$8</c:f>
              <c:numCache>
                <c:formatCode>0%</c:formatCode>
                <c:ptCount val="21"/>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0.2</c:v>
                </c:pt>
                <c:pt idx="19">
                  <c:v>0.2</c:v>
                </c:pt>
                <c:pt idx="20">
                  <c:v>0.2</c:v>
                </c:pt>
              </c:numCache>
            </c:numRef>
          </c:val>
        </c:ser>
        <c:dLbls>
          <c:showLegendKey val="0"/>
          <c:showVal val="0"/>
          <c:showCatName val="0"/>
          <c:showSerName val="0"/>
          <c:showPercent val="0"/>
          <c:showBubbleSize val="0"/>
        </c:dLbls>
        <c:axId val="44572672"/>
        <c:axId val="114638144"/>
      </c:areaChart>
      <c:scatterChart>
        <c:scatterStyle val="lineMarker"/>
        <c:varyColors val="0"/>
        <c:ser>
          <c:idx val="2"/>
          <c:order val="2"/>
          <c:tx>
            <c:strRef>
              <c:f>Коридор!$A$7</c:f>
              <c:strCache>
                <c:ptCount val="1"/>
                <c:pt idx="0">
                  <c:v>Доля учащихся, справившихся с заданием полностью</c:v>
                </c:pt>
              </c:strCache>
            </c:strRef>
          </c:tx>
          <c:spPr>
            <a:ln>
              <a:solidFill>
                <a:schemeClr val="accent2">
                  <a:lumMod val="75000"/>
                </a:schemeClr>
              </a:solidFill>
            </a:ln>
          </c:spPr>
          <c:marker>
            <c:symbol val="circle"/>
            <c:size val="10"/>
            <c:spPr>
              <a:solidFill>
                <a:schemeClr val="accent2">
                  <a:lumMod val="75000"/>
                </a:schemeClr>
              </a:solidFill>
              <a:ln>
                <a:solidFill>
                  <a:schemeClr val="accent2">
                    <a:lumMod val="75000"/>
                  </a:schemeClr>
                </a:solidFill>
              </a:ln>
            </c:spPr>
          </c:marker>
          <c:yVal>
            <c:numRef>
              <c:f>Коридор!$C$7:$W$7</c:f>
              <c:numCache>
                <c:formatCode>0%</c:formatCode>
                <c:ptCount val="21"/>
                <c:pt idx="0">
                  <c:v>0.82352941176470584</c:v>
                </c:pt>
                <c:pt idx="1">
                  <c:v>0.91176470588235292</c:v>
                </c:pt>
                <c:pt idx="2">
                  <c:v>0.91176470588235292</c:v>
                </c:pt>
                <c:pt idx="3">
                  <c:v>0.97058823529411764</c:v>
                </c:pt>
                <c:pt idx="4">
                  <c:v>0.79411764705882348</c:v>
                </c:pt>
                <c:pt idx="5">
                  <c:v>0.82352941176470584</c:v>
                </c:pt>
                <c:pt idx="6">
                  <c:v>0.94117647058823528</c:v>
                </c:pt>
                <c:pt idx="7">
                  <c:v>0.82352941176470584</c:v>
                </c:pt>
                <c:pt idx="8">
                  <c:v>0.44117647058823528</c:v>
                </c:pt>
                <c:pt idx="9">
                  <c:v>0.88235294117647056</c:v>
                </c:pt>
                <c:pt idx="10">
                  <c:v>0.61764705882352944</c:v>
                </c:pt>
                <c:pt idx="11">
                  <c:v>0.73529411764705888</c:v>
                </c:pt>
                <c:pt idx="12">
                  <c:v>0.82352941176470584</c:v>
                </c:pt>
                <c:pt idx="13">
                  <c:v>0.73529411764705888</c:v>
                </c:pt>
                <c:pt idx="14">
                  <c:v>0</c:v>
                </c:pt>
                <c:pt idx="15">
                  <c:v>0.76470588235294112</c:v>
                </c:pt>
                <c:pt idx="16">
                  <c:v>0.97058823529411764</c:v>
                </c:pt>
                <c:pt idx="17">
                  <c:v>0.94117647058823528</c:v>
                </c:pt>
                <c:pt idx="18">
                  <c:v>0.29411764705882354</c:v>
                </c:pt>
                <c:pt idx="19">
                  <c:v>0.5</c:v>
                </c:pt>
                <c:pt idx="20">
                  <c:v>0.29411764705882354</c:v>
                </c:pt>
              </c:numCache>
            </c:numRef>
          </c:yVal>
          <c:smooth val="0"/>
        </c:ser>
        <c:dLbls>
          <c:showLegendKey val="0"/>
          <c:showVal val="0"/>
          <c:showCatName val="0"/>
          <c:showSerName val="0"/>
          <c:showPercent val="0"/>
          <c:showBubbleSize val="0"/>
        </c:dLbls>
        <c:axId val="44572672"/>
        <c:axId val="114638144"/>
      </c:scatterChart>
      <c:catAx>
        <c:axId val="44572672"/>
        <c:scaling>
          <c:orientation val="minMax"/>
        </c:scaling>
        <c:delete val="0"/>
        <c:axPos val="b"/>
        <c:majorGridlines>
          <c:spPr>
            <a:ln>
              <a:solidFill>
                <a:schemeClr val="bg1">
                  <a:lumMod val="85000"/>
                </a:schemeClr>
              </a:solidFill>
            </a:ln>
          </c:spPr>
        </c:majorGridlines>
        <c:numFmt formatCode="General" sourceLinked="1"/>
        <c:majorTickMark val="out"/>
        <c:minorTickMark val="none"/>
        <c:tickLblPos val="nextTo"/>
        <c:crossAx val="114638144"/>
        <c:crosses val="autoZero"/>
        <c:auto val="1"/>
        <c:lblAlgn val="ctr"/>
        <c:lblOffset val="100"/>
        <c:tickLblSkip val="1"/>
        <c:noMultiLvlLbl val="0"/>
      </c:catAx>
      <c:valAx>
        <c:axId val="114638144"/>
        <c:scaling>
          <c:orientation val="minMax"/>
        </c:scaling>
        <c:delete val="0"/>
        <c:axPos val="l"/>
        <c:numFmt formatCode="0%" sourceLinked="1"/>
        <c:majorTickMark val="out"/>
        <c:minorTickMark val="none"/>
        <c:tickLblPos val="nextTo"/>
        <c:crossAx val="44572672"/>
        <c:crosses val="autoZero"/>
        <c:crossBetween val="between"/>
      </c:valAx>
    </c:plotArea>
    <c:legend>
      <c:legendPos val="b"/>
      <c:legendEntry>
        <c:idx val="0"/>
        <c:delete val="1"/>
      </c:legendEntry>
      <c:layout>
        <c:manualLayout>
          <c:xMode val="edge"/>
          <c:yMode val="edge"/>
          <c:x val="1.6068740374395353E-2"/>
          <c:y val="0.90456581816161852"/>
          <c:w val="0.96598414351098671"/>
          <c:h val="7.468621977808329E-2"/>
        </c:manualLayout>
      </c:layout>
      <c:overlay val="0"/>
      <c:txPr>
        <a:bodyPr/>
        <a:lstStyle/>
        <a:p>
          <a:pPr>
            <a:defRPr sz="1100" b="1"/>
          </a:pPr>
          <a:endParaRPr lang="ru-RU"/>
        </a:p>
      </c:txPr>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b="1">
                <a:latin typeface="+mj-lt"/>
              </a:defRPr>
            </a:pPr>
            <a:r>
              <a:rPr lang="ru-RU" sz="1400" b="1">
                <a:latin typeface="+mj-lt"/>
              </a:rPr>
              <a:t>Успешность выполнения всей</a:t>
            </a:r>
            <a:r>
              <a:rPr lang="ru-RU" sz="1400" b="1" baseline="0">
                <a:latin typeface="+mj-lt"/>
              </a:rPr>
              <a:t> работы</a:t>
            </a:r>
            <a:endParaRPr lang="ru-RU" sz="1400" b="1">
              <a:latin typeface="+mj-lt"/>
            </a:endParaRPr>
          </a:p>
        </c:rich>
      </c:tx>
      <c:layout>
        <c:manualLayout>
          <c:xMode val="edge"/>
          <c:yMode val="edge"/>
          <c:x val="0.34063992734046072"/>
          <c:y val="1.2260630541749657E-2"/>
        </c:manualLayout>
      </c:layout>
      <c:overlay val="1"/>
    </c:title>
    <c:autoTitleDeleted val="0"/>
    <c:plotArea>
      <c:layout>
        <c:manualLayout>
          <c:layoutTarget val="inner"/>
          <c:xMode val="edge"/>
          <c:yMode val="edge"/>
          <c:x val="7.0157426420260099E-2"/>
          <c:y val="0.12107303828400759"/>
          <c:w val="0.90314852840520188"/>
          <c:h val="0.76398636377349383"/>
        </c:manualLayout>
      </c:layout>
      <c:scatterChart>
        <c:scatterStyle val="smoothMarker"/>
        <c:varyColors val="0"/>
        <c:ser>
          <c:idx val="1"/>
          <c:order val="1"/>
          <c:tx>
            <c:v>Класс</c:v>
          </c:tx>
          <c:spPr>
            <a:ln w="34925"/>
          </c:spPr>
          <c:marker>
            <c:symbol val="none"/>
          </c:marker>
          <c:xVal>
            <c:strRef>
              <c:f>Результаты_Класс!$C$20:$C$59</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Результаты_Класс!$AK$20:$AK$59</c:f>
              <c:numCache>
                <c:formatCode>0.0%</c:formatCode>
                <c:ptCount val="40"/>
                <c:pt idx="0">
                  <c:v>0.69227941176470575</c:v>
                </c:pt>
                <c:pt idx="1">
                  <c:v>0.69227941176470575</c:v>
                </c:pt>
                <c:pt idx="2">
                  <c:v>0.69227941176470575</c:v>
                </c:pt>
                <c:pt idx="3">
                  <c:v>0.69227941176470575</c:v>
                </c:pt>
                <c:pt idx="4">
                  <c:v>0.69227941176470575</c:v>
                </c:pt>
                <c:pt idx="5">
                  <c:v>0.69227941176470575</c:v>
                </c:pt>
                <c:pt idx="6">
                  <c:v>0.69227941176470575</c:v>
                </c:pt>
                <c:pt idx="7">
                  <c:v>0.69227941176470575</c:v>
                </c:pt>
                <c:pt idx="8">
                  <c:v>0.69227941176470575</c:v>
                </c:pt>
                <c:pt idx="9">
                  <c:v>0.69227941176470575</c:v>
                </c:pt>
                <c:pt idx="10">
                  <c:v>0.69227941176470575</c:v>
                </c:pt>
                <c:pt idx="11">
                  <c:v>0.69227941176470575</c:v>
                </c:pt>
                <c:pt idx="12">
                  <c:v>0.69227941176470575</c:v>
                </c:pt>
                <c:pt idx="13">
                  <c:v>0.69227941176470575</c:v>
                </c:pt>
                <c:pt idx="14">
                  <c:v>0.69227941176470575</c:v>
                </c:pt>
                <c:pt idx="15">
                  <c:v>0.69227941176470575</c:v>
                </c:pt>
                <c:pt idx="16">
                  <c:v>0.69227941176470575</c:v>
                </c:pt>
                <c:pt idx="17">
                  <c:v>0.69227941176470575</c:v>
                </c:pt>
                <c:pt idx="18">
                  <c:v>0.69227941176470575</c:v>
                </c:pt>
                <c:pt idx="19">
                  <c:v>0.69227941176470575</c:v>
                </c:pt>
                <c:pt idx="20">
                  <c:v>0.69227941176470575</c:v>
                </c:pt>
                <c:pt idx="21">
                  <c:v>0.69227941176470575</c:v>
                </c:pt>
                <c:pt idx="22">
                  <c:v>0.69227941176470575</c:v>
                </c:pt>
                <c:pt idx="23">
                  <c:v>0.69227941176470575</c:v>
                </c:pt>
                <c:pt idx="24">
                  <c:v>0.69227941176470575</c:v>
                </c:pt>
                <c:pt idx="25">
                  <c:v>0.69227941176470575</c:v>
                </c:pt>
                <c:pt idx="26">
                  <c:v>0.69227941176470575</c:v>
                </c:pt>
                <c:pt idx="27">
                  <c:v>0.69227941176470575</c:v>
                </c:pt>
                <c:pt idx="28">
                  <c:v>0.69227941176470575</c:v>
                </c:pt>
                <c:pt idx="29">
                  <c:v>0.69227941176470575</c:v>
                </c:pt>
                <c:pt idx="30">
                  <c:v>0.69227941176470575</c:v>
                </c:pt>
                <c:pt idx="31">
                  <c:v>0.69227941176470575</c:v>
                </c:pt>
                <c:pt idx="32">
                  <c:v>0.69227941176470575</c:v>
                </c:pt>
                <c:pt idx="33">
                  <c:v>0.69227941176470575</c:v>
                </c:pt>
                <c:pt idx="34">
                  <c:v>0.69227941176470575</c:v>
                </c:pt>
                <c:pt idx="35">
                  <c:v>0.69227941176470575</c:v>
                </c:pt>
                <c:pt idx="36">
                  <c:v>0.69227941176470575</c:v>
                </c:pt>
                <c:pt idx="37">
                  <c:v>0.69227941176470575</c:v>
                </c:pt>
                <c:pt idx="38">
                  <c:v>0.69227941176470575</c:v>
                </c:pt>
                <c:pt idx="39">
                  <c:v>0.69227941176470575</c:v>
                </c:pt>
              </c:numCache>
            </c:numRef>
          </c:yVal>
          <c:smooth val="1"/>
        </c:ser>
        <c:dLbls>
          <c:showLegendKey val="0"/>
          <c:showVal val="0"/>
          <c:showCatName val="0"/>
          <c:showSerName val="0"/>
          <c:showPercent val="0"/>
          <c:showBubbleSize val="0"/>
        </c:dLbls>
        <c:axId val="114789184"/>
        <c:axId val="114789760"/>
      </c:scatterChart>
      <c:scatterChart>
        <c:scatterStyle val="lineMarker"/>
        <c:varyColors val="0"/>
        <c:ser>
          <c:idx val="0"/>
          <c:order val="0"/>
          <c:tx>
            <c:v>Ученик</c:v>
          </c:tx>
          <c:spPr>
            <a:ln w="66675">
              <a:noFill/>
            </a:ln>
          </c:spPr>
          <c:marker>
            <c:symbol val="diamond"/>
            <c:size val="7"/>
          </c:marker>
          <c:dLbls>
            <c:txPr>
              <a:bodyPr/>
              <a:lstStyle/>
              <a:p>
                <a:pPr>
                  <a:defRPr sz="1050" b="1"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dLbls>
          <c:xVal>
            <c:strRef>
              <c:f>Результаты_Класс!$C$20:$C$59</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Результаты_Класс!$AD$20:$AD$58</c:f>
              <c:numCache>
                <c:formatCode>0%</c:formatCode>
                <c:ptCount val="39"/>
                <c:pt idx="0">
                  <c:v>0.72916666666666663</c:v>
                </c:pt>
                <c:pt idx="1">
                  <c:v>0.75</c:v>
                </c:pt>
                <c:pt idx="2">
                  <c:v>0.95833333333333337</c:v>
                </c:pt>
                <c:pt idx="3">
                  <c:v>0.95833333333333337</c:v>
                </c:pt>
                <c:pt idx="4">
                  <c:v>0.53333333333333333</c:v>
                </c:pt>
                <c:pt idx="5">
                  <c:v>0.70833333333333337</c:v>
                </c:pt>
                <c:pt idx="6">
                  <c:v>0.75</c:v>
                </c:pt>
                <c:pt idx="7">
                  <c:v>0.91666666666666663</c:v>
                </c:pt>
                <c:pt idx="8">
                  <c:v>0.78749999999999998</c:v>
                </c:pt>
                <c:pt idx="9">
                  <c:v>0.6333333333333333</c:v>
                </c:pt>
                <c:pt idx="10">
                  <c:v>0.7583333333333333</c:v>
                </c:pt>
                <c:pt idx="11">
                  <c:v>0.70000000000000007</c:v>
                </c:pt>
                <c:pt idx="12">
                  <c:v>0.5</c:v>
                </c:pt>
                <c:pt idx="13">
                  <c:v>0.5</c:v>
                </c:pt>
                <c:pt idx="14">
                  <c:v>0.82500000000000007</c:v>
                </c:pt>
                <c:pt idx="15">
                  <c:v>0.7583333333333333</c:v>
                </c:pt>
                <c:pt idx="16">
                  <c:v>0.625</c:v>
                </c:pt>
                <c:pt idx="17">
                  <c:v>0.33333333333333331</c:v>
                </c:pt>
                <c:pt idx="18">
                  <c:v>0.51666666666666672</c:v>
                </c:pt>
                <c:pt idx="19">
                  <c:v>0.625</c:v>
                </c:pt>
                <c:pt idx="20">
                  <c:v>0.64166666666666672</c:v>
                </c:pt>
                <c:pt idx="21">
                  <c:v>0.70000000000000007</c:v>
                </c:pt>
                <c:pt idx="22">
                  <c:v>0.55833333333333335</c:v>
                </c:pt>
                <c:pt idx="23">
                  <c:v>0.58333333333333337</c:v>
                </c:pt>
                <c:pt idx="24">
                  <c:v>0.6875</c:v>
                </c:pt>
                <c:pt idx="25">
                  <c:v>0.91666666666666663</c:v>
                </c:pt>
                <c:pt idx="26">
                  <c:v>0.7583333333333333</c:v>
                </c:pt>
                <c:pt idx="27">
                  <c:v>0.70000000000000007</c:v>
                </c:pt>
                <c:pt idx="28">
                  <c:v>0.72499999999999998</c:v>
                </c:pt>
                <c:pt idx="29">
                  <c:v>0.58333333333333337</c:v>
                </c:pt>
                <c:pt idx="30">
                  <c:v>0.875</c:v>
                </c:pt>
                <c:pt idx="31">
                  <c:v>0.82500000000000007</c:v>
                </c:pt>
                <c:pt idx="32">
                  <c:v>0.7416666666666667</c:v>
                </c:pt>
                <c:pt idx="33">
                  <c:v>0.375</c:v>
                </c:pt>
                <c:pt idx="34">
                  <c:v>0</c:v>
                </c:pt>
                <c:pt idx="35">
                  <c:v>0</c:v>
                </c:pt>
                <c:pt idx="36">
                  <c:v>0</c:v>
                </c:pt>
                <c:pt idx="37">
                  <c:v>0</c:v>
                </c:pt>
                <c:pt idx="38">
                  <c:v>0</c:v>
                </c:pt>
              </c:numCache>
            </c:numRef>
          </c:yVal>
          <c:smooth val="0"/>
        </c:ser>
        <c:dLbls>
          <c:showLegendKey val="0"/>
          <c:showVal val="0"/>
          <c:showCatName val="0"/>
          <c:showSerName val="0"/>
          <c:showPercent val="0"/>
          <c:showBubbleSize val="0"/>
        </c:dLbls>
        <c:axId val="114789184"/>
        <c:axId val="114789760"/>
      </c:scatterChart>
      <c:valAx>
        <c:axId val="11478918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ru-RU"/>
                  <a:t>Номер учащегося по журналу</a:t>
                </a:r>
              </a:p>
            </c:rich>
          </c:tx>
          <c:overlay val="0"/>
        </c:title>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4789760"/>
        <c:crosses val="autoZero"/>
        <c:crossBetween val="midCat"/>
        <c:majorUnit val="1"/>
      </c:valAx>
      <c:valAx>
        <c:axId val="114789760"/>
        <c:scaling>
          <c:orientation val="minMax"/>
          <c:max val="1"/>
        </c:scaling>
        <c:delete val="0"/>
        <c:axPos val="l"/>
        <c:majorGridlines/>
        <c:title>
          <c:tx>
            <c:rich>
              <a:bodyPr/>
              <a:lstStyle/>
              <a:p>
                <a:pPr>
                  <a:defRPr sz="1000" b="1" i="0" u="none" strike="noStrike" baseline="0">
                    <a:solidFill>
                      <a:srgbClr val="000000"/>
                    </a:solidFill>
                    <a:latin typeface="+mj-lt"/>
                    <a:ea typeface="Calibri"/>
                    <a:cs typeface="Calibri"/>
                  </a:defRPr>
                </a:pPr>
                <a:r>
                  <a:rPr lang="ru-RU">
                    <a:latin typeface="+mj-lt"/>
                  </a:rPr>
                  <a:t>Процент выполнения всей работы</a:t>
                </a:r>
              </a:p>
            </c:rich>
          </c:tx>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4789184"/>
        <c:crosses val="autoZero"/>
        <c:crossBetween val="midCat"/>
      </c:valAx>
    </c:plotArea>
    <c:legend>
      <c:legendPos val="b"/>
      <c:layout>
        <c:manualLayout>
          <c:xMode val="edge"/>
          <c:yMode val="edge"/>
          <c:x val="0.78189587005436634"/>
          <c:y val="1.8584166340909515E-2"/>
          <c:w val="0.18090347210997448"/>
          <c:h val="5.5745301340878496E-2"/>
        </c:manualLayout>
      </c:layout>
      <c:overlay val="0"/>
      <c:txPr>
        <a:bodyPr/>
        <a:lstStyle/>
        <a:p>
          <a:pPr>
            <a:defRPr sz="1200" b="0" i="0" u="none" strike="noStrike" baseline="0">
              <a:solidFill>
                <a:srgbClr val="000000"/>
              </a:solidFill>
              <a:latin typeface="Cambria"/>
              <a:ea typeface="Cambria"/>
              <a:cs typeface="Cambria"/>
            </a:defRPr>
          </a:pPr>
          <a:endParaRPr lang="ru-RU"/>
        </a:p>
      </c:txPr>
    </c:legend>
    <c:plotVisOnly val="0"/>
    <c:dispBlanksAs val="gap"/>
    <c:showDLblsOverMax val="0"/>
  </c:chart>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044" l="0.7000000000000004" r="0.7000000000000004" t="0.75000000000000044" header="0.30000000000000021" footer="0.3000000000000002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3938526037971614E-2"/>
          <c:y val="9.3019102501595216E-2"/>
          <c:w val="0.95212294792405672"/>
          <c:h val="0.82920465901729767"/>
        </c:manualLayout>
      </c:layout>
      <c:pie3DChart>
        <c:varyColors val="1"/>
        <c:ser>
          <c:idx val="0"/>
          <c:order val="0"/>
          <c:dPt>
            <c:idx val="0"/>
            <c:bubble3D val="0"/>
            <c:explosion val="5"/>
          </c:dPt>
          <c:dPt>
            <c:idx val="1"/>
            <c:bubble3D val="0"/>
            <c:explosion val="8"/>
          </c:dPt>
          <c:dPt>
            <c:idx val="2"/>
            <c:bubble3D val="0"/>
            <c:explosion val="9"/>
          </c:dPt>
          <c:dPt>
            <c:idx val="3"/>
            <c:bubble3D val="0"/>
            <c:explosion val="4"/>
          </c:dPt>
          <c:dPt>
            <c:idx val="4"/>
            <c:bubble3D val="0"/>
            <c:explosion val="4"/>
          </c:dPt>
          <c:dLbls>
            <c:dLbl>
              <c:idx val="0"/>
              <c:layout>
                <c:manualLayout>
                  <c:x val="-3.8970801619764156E-2"/>
                  <c:y val="-0.49489564579090167"/>
                </c:manualLayout>
              </c:layout>
              <c:showLegendKey val="0"/>
              <c:showVal val="1"/>
              <c:showCatName val="0"/>
              <c:showSerName val="0"/>
              <c:showPercent val="0"/>
              <c:showBubbleSize val="0"/>
            </c:dLbl>
            <c:dLbl>
              <c:idx val="1"/>
              <c:layout>
                <c:manualLayout>
                  <c:x val="-5.1827898598325935E-2"/>
                  <c:y val="-1.1451073179641464E-2"/>
                </c:manualLayout>
              </c:layout>
              <c:showLegendKey val="0"/>
              <c:showVal val="1"/>
              <c:showCatName val="0"/>
              <c:showSerName val="0"/>
              <c:showPercent val="0"/>
              <c:showBubbleSize val="0"/>
            </c:dLbl>
            <c:dLbl>
              <c:idx val="2"/>
              <c:layout>
                <c:manualLayout>
                  <c:x val="-1.7911999042388903E-2"/>
                  <c:y val="-8.6085760830875435E-2"/>
                </c:manualLayout>
              </c:layout>
              <c:showLegendKey val="0"/>
              <c:showVal val="1"/>
              <c:showCatName val="0"/>
              <c:showSerName val="0"/>
              <c:showPercent val="0"/>
              <c:showBubbleSize val="0"/>
            </c:dLbl>
            <c:dLbl>
              <c:idx val="3"/>
              <c:layout>
                <c:manualLayout>
                  <c:x val="5.013047451382259E-2"/>
                  <c:y val="-9.4745390302416244E-2"/>
                </c:manualLayout>
              </c:layout>
              <c:showLegendKey val="0"/>
              <c:showVal val="1"/>
              <c:showCatName val="0"/>
              <c:showSerName val="0"/>
              <c:showPercent val="0"/>
              <c:showBubbleSize val="0"/>
            </c:dLbl>
            <c:dLbl>
              <c:idx val="4"/>
              <c:layout>
                <c:manualLayout>
                  <c:x val="8.9666908988990393E-2"/>
                  <c:y val="-3.8795652043341719E-2"/>
                </c:manualLayout>
              </c:layout>
              <c:showLegendKey val="0"/>
              <c:showVal val="1"/>
              <c:showCatName val="0"/>
              <c:showSerName val="0"/>
              <c:showPercent val="0"/>
              <c:showBubbleSize val="0"/>
            </c:dLbl>
            <c:txPr>
              <a:bodyPr/>
              <a:lstStyle/>
              <a:p>
                <a:pPr>
                  <a:defRPr sz="1400"/>
                </a:pPr>
                <a:endParaRPr lang="ru-RU"/>
              </a:p>
            </c:txPr>
            <c:showLegendKey val="0"/>
            <c:showVal val="1"/>
            <c:showCatName val="0"/>
            <c:showSerName val="0"/>
            <c:showPercent val="0"/>
            <c:showBubbleSize val="0"/>
            <c:showLeaderLines val="1"/>
          </c:dLbls>
          <c:cat>
            <c:strRef>
              <c:f>(Уровни!$D$9,Уровни!$F$9,Уровни!$H$9,Уровни!$J$9,Уровни!$L$9)</c:f>
              <c:strCache>
                <c:ptCount val="5"/>
                <c:pt idx="0">
                  <c:v>Низкий</c:v>
                </c:pt>
                <c:pt idx="1">
                  <c:v>Недостаточный</c:v>
                </c:pt>
                <c:pt idx="2">
                  <c:v>Базовый</c:v>
                </c:pt>
                <c:pt idx="3">
                  <c:v>Повышенный</c:v>
                </c:pt>
                <c:pt idx="4">
                  <c:v>Высокий</c:v>
                </c:pt>
              </c:strCache>
            </c:strRef>
          </c:cat>
          <c:val>
            <c:numRef>
              <c:f>(Уровни!$D$8,Уровни!$F$8,Уровни!$H$8,Уровни!$J$8,Уровни!$L$8)</c:f>
              <c:numCache>
                <c:formatCode>0.0%</c:formatCode>
                <c:ptCount val="5"/>
                <c:pt idx="0">
                  <c:v>0</c:v>
                </c:pt>
                <c:pt idx="1">
                  <c:v>2.9411764705882353E-2</c:v>
                </c:pt>
                <c:pt idx="2">
                  <c:v>0.58823529411764708</c:v>
                </c:pt>
                <c:pt idx="3">
                  <c:v>0.23529411764705882</c:v>
                </c:pt>
                <c:pt idx="4">
                  <c:v>0.14705882352941177</c:v>
                </c:pt>
              </c:numCache>
            </c:numRef>
          </c:val>
        </c:ser>
        <c:dLbls>
          <c:showLegendKey val="0"/>
          <c:showVal val="0"/>
          <c:showCatName val="0"/>
          <c:showSerName val="0"/>
          <c:showPercent val="0"/>
          <c:showBubbleSize val="0"/>
          <c:showLeaderLines val="1"/>
        </c:dLbls>
      </c:pie3DChart>
    </c:plotArea>
    <c:legend>
      <c:legendPos val="b"/>
      <c:layout>
        <c:manualLayout>
          <c:xMode val="edge"/>
          <c:yMode val="edge"/>
          <c:x val="3.5216031811373949E-2"/>
          <c:y val="0.92196709868175819"/>
          <c:w val="0.90732087854980292"/>
          <c:h val="5.8591839499492163E-2"/>
        </c:manualLayout>
      </c:layout>
      <c:overlay val="0"/>
      <c:txPr>
        <a:bodyPr/>
        <a:lstStyle/>
        <a:p>
          <a:pPr>
            <a:defRPr sz="1400"/>
          </a:pPr>
          <a:endParaRPr lang="ru-RU"/>
        </a:p>
      </c:txPr>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lgn="ctr" rtl="0">
              <a:defRPr lang="ru-RU" sz="1400" b="1" i="0" u="none" strike="noStrike" kern="1200" baseline="0">
                <a:solidFill>
                  <a:srgbClr val="000000"/>
                </a:solidFill>
                <a:latin typeface="+mj-lt"/>
                <a:ea typeface="Calibri"/>
                <a:cs typeface="Calibri"/>
              </a:defRPr>
            </a:pPr>
            <a:r>
              <a:rPr lang="ru-RU" sz="1400" b="1" i="0" u="none" strike="noStrike" kern="1200" baseline="0">
                <a:solidFill>
                  <a:srgbClr val="000000"/>
                </a:solidFill>
                <a:latin typeface="+mj-lt"/>
                <a:ea typeface="Calibri"/>
                <a:cs typeface="Calibri"/>
              </a:rPr>
              <a:t>Выполнение заданий базового уровня</a:t>
            </a:r>
          </a:p>
        </c:rich>
      </c:tx>
      <c:overlay val="0"/>
    </c:title>
    <c:autoTitleDeleted val="0"/>
    <c:plotArea>
      <c:layout>
        <c:manualLayout>
          <c:layoutTarget val="inner"/>
          <c:xMode val="edge"/>
          <c:yMode val="edge"/>
          <c:x val="5.7242582897033156E-2"/>
          <c:y val="0.10881250188554016"/>
          <c:w val="0.91553272594852342"/>
          <c:h val="0.72107448637885785"/>
        </c:manualLayout>
      </c:layout>
      <c:scatterChart>
        <c:scatterStyle val="smoothMarker"/>
        <c:varyColors val="0"/>
        <c:ser>
          <c:idx val="1"/>
          <c:order val="1"/>
          <c:tx>
            <c:v>Уровень обязательной подготовки (не менее 9 баллов)</c:v>
          </c:tx>
          <c:spPr>
            <a:ln w="34925"/>
          </c:spPr>
          <c:marker>
            <c:symbol val="none"/>
          </c:marker>
          <c:xVal>
            <c:strRef>
              <c:f>Результаты_Класс!$C$20:$C$59</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Результаты_Класс!$AL$20:$AL$59</c:f>
              <c:numCache>
                <c:formatCode>General</c:formatCode>
                <c:ptCount val="40"/>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pt idx="29">
                  <c:v>9</c:v>
                </c:pt>
                <c:pt idx="30">
                  <c:v>9</c:v>
                </c:pt>
                <c:pt idx="31">
                  <c:v>9</c:v>
                </c:pt>
                <c:pt idx="32">
                  <c:v>9</c:v>
                </c:pt>
                <c:pt idx="33">
                  <c:v>9</c:v>
                </c:pt>
                <c:pt idx="34">
                  <c:v>9</c:v>
                </c:pt>
                <c:pt idx="35">
                  <c:v>9</c:v>
                </c:pt>
                <c:pt idx="36">
                  <c:v>9</c:v>
                </c:pt>
                <c:pt idx="37">
                  <c:v>9</c:v>
                </c:pt>
                <c:pt idx="38">
                  <c:v>9</c:v>
                </c:pt>
                <c:pt idx="39">
                  <c:v>9</c:v>
                </c:pt>
              </c:numCache>
            </c:numRef>
          </c:yVal>
          <c:smooth val="1"/>
        </c:ser>
        <c:dLbls>
          <c:showLegendKey val="0"/>
          <c:showVal val="0"/>
          <c:showCatName val="0"/>
          <c:showSerName val="0"/>
          <c:showPercent val="0"/>
          <c:showBubbleSize val="0"/>
        </c:dLbls>
        <c:axId val="114792640"/>
        <c:axId val="114793216"/>
      </c:scatterChart>
      <c:scatterChart>
        <c:scatterStyle val="lineMarker"/>
        <c:varyColors val="0"/>
        <c:ser>
          <c:idx val="0"/>
          <c:order val="0"/>
          <c:tx>
            <c:v>Ученик</c:v>
          </c:tx>
          <c:spPr>
            <a:ln w="66675">
              <a:noFill/>
            </a:ln>
          </c:spPr>
          <c:marker>
            <c:symbol val="diamond"/>
            <c:size val="7"/>
          </c:marker>
          <c:dLbls>
            <c:txPr>
              <a:bodyPr/>
              <a:lstStyle/>
              <a:p>
                <a:pPr>
                  <a:defRPr sz="1050" b="1"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dLbls>
          <c:xVal>
            <c:strRef>
              <c:f>Результаты_Класс!$C$20:$C$59</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Результаты_Класс!$AE$20:$AE$59</c:f>
              <c:numCache>
                <c:formatCode>General</c:formatCode>
                <c:ptCount val="40"/>
                <c:pt idx="0">
                  <c:v>14</c:v>
                </c:pt>
                <c:pt idx="1">
                  <c:v>14</c:v>
                </c:pt>
                <c:pt idx="2">
                  <c:v>17</c:v>
                </c:pt>
                <c:pt idx="3">
                  <c:v>17</c:v>
                </c:pt>
                <c:pt idx="4">
                  <c:v>12</c:v>
                </c:pt>
                <c:pt idx="5">
                  <c:v>15</c:v>
                </c:pt>
                <c:pt idx="6">
                  <c:v>14</c:v>
                </c:pt>
                <c:pt idx="7">
                  <c:v>16</c:v>
                </c:pt>
                <c:pt idx="8">
                  <c:v>15</c:v>
                </c:pt>
                <c:pt idx="9">
                  <c:v>14</c:v>
                </c:pt>
                <c:pt idx="10">
                  <c:v>17</c:v>
                </c:pt>
                <c:pt idx="11">
                  <c:v>12</c:v>
                </c:pt>
                <c:pt idx="12">
                  <c:v>12</c:v>
                </c:pt>
                <c:pt idx="13">
                  <c:v>12</c:v>
                </c:pt>
                <c:pt idx="14">
                  <c:v>15</c:v>
                </c:pt>
                <c:pt idx="15">
                  <c:v>16</c:v>
                </c:pt>
                <c:pt idx="16">
                  <c:v>15</c:v>
                </c:pt>
                <c:pt idx="17">
                  <c:v>8</c:v>
                </c:pt>
                <c:pt idx="18">
                  <c:v>10</c:v>
                </c:pt>
                <c:pt idx="19">
                  <c:v>13</c:v>
                </c:pt>
                <c:pt idx="20">
                  <c:v>13</c:v>
                </c:pt>
                <c:pt idx="21">
                  <c:v>12</c:v>
                </c:pt>
                <c:pt idx="22">
                  <c:v>13</c:v>
                </c:pt>
                <c:pt idx="23">
                  <c:v>14</c:v>
                </c:pt>
                <c:pt idx="24">
                  <c:v>13</c:v>
                </c:pt>
                <c:pt idx="25">
                  <c:v>16</c:v>
                </c:pt>
                <c:pt idx="26">
                  <c:v>15</c:v>
                </c:pt>
                <c:pt idx="27">
                  <c:v>14</c:v>
                </c:pt>
                <c:pt idx="28">
                  <c:v>17</c:v>
                </c:pt>
                <c:pt idx="29">
                  <c:v>14</c:v>
                </c:pt>
                <c:pt idx="30">
                  <c:v>15</c:v>
                </c:pt>
                <c:pt idx="31">
                  <c:v>17</c:v>
                </c:pt>
                <c:pt idx="32">
                  <c:v>13</c:v>
                </c:pt>
                <c:pt idx="33">
                  <c:v>9</c:v>
                </c:pt>
                <c:pt idx="34">
                  <c:v>0</c:v>
                </c:pt>
                <c:pt idx="35">
                  <c:v>0</c:v>
                </c:pt>
                <c:pt idx="36">
                  <c:v>0</c:v>
                </c:pt>
                <c:pt idx="37">
                  <c:v>0</c:v>
                </c:pt>
                <c:pt idx="38">
                  <c:v>0</c:v>
                </c:pt>
                <c:pt idx="39">
                  <c:v>0</c:v>
                </c:pt>
              </c:numCache>
            </c:numRef>
          </c:yVal>
          <c:smooth val="0"/>
        </c:ser>
        <c:dLbls>
          <c:showLegendKey val="0"/>
          <c:showVal val="0"/>
          <c:showCatName val="0"/>
          <c:showSerName val="0"/>
          <c:showPercent val="0"/>
          <c:showBubbleSize val="0"/>
        </c:dLbls>
        <c:axId val="114792640"/>
        <c:axId val="114793216"/>
      </c:scatterChart>
      <c:valAx>
        <c:axId val="11479264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ru-RU"/>
                  <a:t>Номер учащегося по журналу</a:t>
                </a:r>
              </a:p>
            </c:rich>
          </c:tx>
          <c:overlay val="0"/>
        </c:title>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4793216"/>
        <c:crosses val="autoZero"/>
        <c:crossBetween val="midCat"/>
        <c:majorUnit val="1"/>
      </c:valAx>
      <c:valAx>
        <c:axId val="114793216"/>
        <c:scaling>
          <c:orientation val="minMax"/>
          <c:max val="20"/>
        </c:scaling>
        <c:delete val="0"/>
        <c:axPos val="l"/>
        <c:majorGridlines/>
        <c:title>
          <c:tx>
            <c:rich>
              <a:bodyPr/>
              <a:lstStyle/>
              <a:p>
                <a:pPr>
                  <a:defRPr sz="1000" b="1" i="0" u="none" strike="noStrike" baseline="0">
                    <a:solidFill>
                      <a:srgbClr val="000000"/>
                    </a:solidFill>
                    <a:latin typeface="Cambria"/>
                    <a:ea typeface="Cambria"/>
                    <a:cs typeface="Cambria"/>
                  </a:defRPr>
                </a:pPr>
                <a:r>
                  <a:rPr lang="ru-RU"/>
                  <a:t>количество  заданий базового уровня</a:t>
                </a:r>
              </a:p>
            </c:rich>
          </c:tx>
          <c:overlay val="0"/>
        </c:title>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4792640"/>
        <c:crosses val="autoZero"/>
        <c:crossBetween val="midCat"/>
      </c:valAx>
    </c:plotArea>
    <c:legend>
      <c:legendPos val="b"/>
      <c:overlay val="0"/>
      <c:txPr>
        <a:bodyPr/>
        <a:lstStyle/>
        <a:p>
          <a:pPr>
            <a:defRPr sz="1100" b="0" i="0" u="none" strike="noStrike" baseline="0">
              <a:solidFill>
                <a:srgbClr val="000000"/>
              </a:solidFill>
              <a:latin typeface="Cambria"/>
              <a:ea typeface="Cambria"/>
              <a:cs typeface="Cambria"/>
            </a:defRPr>
          </a:pPr>
          <a:endParaRPr lang="ru-RU"/>
        </a:p>
      </c:txPr>
    </c:legend>
    <c:plotVisOnly val="0"/>
    <c:dispBlanksAs val="gap"/>
    <c:showDLblsOverMax val="0"/>
  </c:chart>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044" l="0.7000000000000004" r="0.7000000000000004" t="0.75000000000000044" header="0.30000000000000021" footer="0.3000000000000002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lgn="ctr" rtl="0">
              <a:defRPr lang="ru-RU" sz="1400" b="1" i="0" u="none" strike="noStrike" kern="1200" baseline="0">
                <a:solidFill>
                  <a:srgbClr val="000000"/>
                </a:solidFill>
                <a:latin typeface="+mj-lt"/>
                <a:ea typeface="Calibri"/>
                <a:cs typeface="Calibri"/>
              </a:defRPr>
            </a:pPr>
            <a:r>
              <a:rPr lang="ru-RU" sz="1400" b="1" i="0" u="none" strike="noStrike" kern="1200" baseline="0">
                <a:solidFill>
                  <a:srgbClr val="000000"/>
                </a:solidFill>
                <a:latin typeface="+mj-lt"/>
                <a:ea typeface="Calibri"/>
                <a:cs typeface="Calibri"/>
              </a:rPr>
              <a:t>Процент выполнения заданий базового уровня</a:t>
            </a:r>
          </a:p>
        </c:rich>
      </c:tx>
      <c:layout>
        <c:manualLayout>
          <c:xMode val="edge"/>
          <c:yMode val="edge"/>
          <c:x val="0.27026376162580934"/>
          <c:y val="3.1098236466261118E-2"/>
        </c:manualLayout>
      </c:layout>
      <c:overlay val="0"/>
    </c:title>
    <c:autoTitleDeleted val="0"/>
    <c:plotArea>
      <c:layout>
        <c:manualLayout>
          <c:layoutTarget val="inner"/>
          <c:xMode val="edge"/>
          <c:yMode val="edge"/>
          <c:x val="4.9593490813648292E-2"/>
          <c:y val="0.10881249599897574"/>
          <c:w val="0.92086603674540679"/>
          <c:h val="0.77011663197272751"/>
        </c:manualLayout>
      </c:layout>
      <c:scatterChart>
        <c:scatterStyle val="smoothMarker"/>
        <c:varyColors val="0"/>
        <c:ser>
          <c:idx val="1"/>
          <c:order val="1"/>
          <c:tx>
            <c:v>Класс</c:v>
          </c:tx>
          <c:spPr>
            <a:ln w="34925"/>
          </c:spPr>
          <c:marker>
            <c:symbol val="none"/>
          </c:marker>
          <c:xVal>
            <c:strRef>
              <c:f>Результаты_Класс!$C$20:$C$59</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Результаты_Класс!$AM$20:$AM$59</c:f>
              <c:numCache>
                <c:formatCode>0.0</c:formatCode>
                <c:ptCount val="40"/>
                <c:pt idx="0">
                  <c:v>77.287581699346404</c:v>
                </c:pt>
                <c:pt idx="1">
                  <c:v>77.287581699346404</c:v>
                </c:pt>
                <c:pt idx="2">
                  <c:v>77.287581699346404</c:v>
                </c:pt>
                <c:pt idx="3">
                  <c:v>77.287581699346404</c:v>
                </c:pt>
                <c:pt idx="4">
                  <c:v>77.287581699346404</c:v>
                </c:pt>
                <c:pt idx="5">
                  <c:v>77.287581699346404</c:v>
                </c:pt>
                <c:pt idx="6">
                  <c:v>77.287581699346404</c:v>
                </c:pt>
                <c:pt idx="7">
                  <c:v>77.287581699346404</c:v>
                </c:pt>
                <c:pt idx="8">
                  <c:v>77.287581699346404</c:v>
                </c:pt>
                <c:pt idx="9">
                  <c:v>77.287581699346404</c:v>
                </c:pt>
                <c:pt idx="10">
                  <c:v>77.287581699346404</c:v>
                </c:pt>
                <c:pt idx="11">
                  <c:v>77.287581699346404</c:v>
                </c:pt>
                <c:pt idx="12">
                  <c:v>77.287581699346404</c:v>
                </c:pt>
                <c:pt idx="13">
                  <c:v>77.287581699346404</c:v>
                </c:pt>
                <c:pt idx="14">
                  <c:v>77.287581699346404</c:v>
                </c:pt>
                <c:pt idx="15">
                  <c:v>77.287581699346404</c:v>
                </c:pt>
                <c:pt idx="16">
                  <c:v>77.287581699346404</c:v>
                </c:pt>
                <c:pt idx="17">
                  <c:v>77.287581699346404</c:v>
                </c:pt>
                <c:pt idx="18">
                  <c:v>77.287581699346404</c:v>
                </c:pt>
                <c:pt idx="19">
                  <c:v>77.287581699346404</c:v>
                </c:pt>
                <c:pt idx="20">
                  <c:v>77.287581699346404</c:v>
                </c:pt>
                <c:pt idx="21">
                  <c:v>77.287581699346404</c:v>
                </c:pt>
                <c:pt idx="22">
                  <c:v>77.287581699346404</c:v>
                </c:pt>
                <c:pt idx="23">
                  <c:v>77.287581699346404</c:v>
                </c:pt>
                <c:pt idx="24">
                  <c:v>77.287581699346404</c:v>
                </c:pt>
                <c:pt idx="25">
                  <c:v>77.287581699346404</c:v>
                </c:pt>
                <c:pt idx="26">
                  <c:v>77.287581699346404</c:v>
                </c:pt>
                <c:pt idx="27">
                  <c:v>77.287581699346404</c:v>
                </c:pt>
                <c:pt idx="28">
                  <c:v>77.287581699346404</c:v>
                </c:pt>
                <c:pt idx="29">
                  <c:v>77.287581699346404</c:v>
                </c:pt>
                <c:pt idx="30">
                  <c:v>77.287581699346404</c:v>
                </c:pt>
                <c:pt idx="31">
                  <c:v>77.287581699346404</c:v>
                </c:pt>
                <c:pt idx="32">
                  <c:v>77.287581699346404</c:v>
                </c:pt>
                <c:pt idx="33">
                  <c:v>77.287581699346404</c:v>
                </c:pt>
                <c:pt idx="34">
                  <c:v>77.287581699346404</c:v>
                </c:pt>
                <c:pt idx="35">
                  <c:v>77.287581699346404</c:v>
                </c:pt>
                <c:pt idx="36">
                  <c:v>77.287581699346404</c:v>
                </c:pt>
                <c:pt idx="37">
                  <c:v>77.287581699346404</c:v>
                </c:pt>
                <c:pt idx="38">
                  <c:v>77.287581699346404</c:v>
                </c:pt>
                <c:pt idx="39">
                  <c:v>77.287581699346404</c:v>
                </c:pt>
              </c:numCache>
            </c:numRef>
          </c:yVal>
          <c:smooth val="1"/>
        </c:ser>
        <c:dLbls>
          <c:showLegendKey val="0"/>
          <c:showVal val="0"/>
          <c:showCatName val="0"/>
          <c:showSerName val="0"/>
          <c:showPercent val="0"/>
          <c:showBubbleSize val="0"/>
        </c:dLbls>
        <c:axId val="117113408"/>
        <c:axId val="117113984"/>
      </c:scatterChart>
      <c:scatterChart>
        <c:scatterStyle val="lineMarker"/>
        <c:varyColors val="0"/>
        <c:ser>
          <c:idx val="0"/>
          <c:order val="0"/>
          <c:tx>
            <c:v>Ученик</c:v>
          </c:tx>
          <c:spPr>
            <a:ln w="66675">
              <a:noFill/>
            </a:ln>
          </c:spPr>
          <c:marker>
            <c:symbol val="diamond"/>
            <c:size val="7"/>
          </c:marker>
          <c:dLbls>
            <c:txPr>
              <a:bodyPr/>
              <a:lstStyle/>
              <a:p>
                <a:pPr>
                  <a:defRPr sz="1050" b="1"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dLbls>
          <c:xVal>
            <c:strRef>
              <c:f>Результаты_Класс!$C$20:$C$58</c:f>
              <c:strCach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strCache>
            </c:strRef>
          </c:xVal>
          <c:yVal>
            <c:numRef>
              <c:f>Результаты_Класс!$AF$20:$AF$59</c:f>
              <c:numCache>
                <c:formatCode>0</c:formatCode>
                <c:ptCount val="40"/>
                <c:pt idx="0">
                  <c:v>77.777777777777786</c:v>
                </c:pt>
                <c:pt idx="1">
                  <c:v>77.777777777777786</c:v>
                </c:pt>
                <c:pt idx="2">
                  <c:v>94.444444444444443</c:v>
                </c:pt>
                <c:pt idx="3">
                  <c:v>94.444444444444443</c:v>
                </c:pt>
                <c:pt idx="4">
                  <c:v>66.666666666666657</c:v>
                </c:pt>
                <c:pt idx="5">
                  <c:v>83.333333333333343</c:v>
                </c:pt>
                <c:pt idx="6">
                  <c:v>77.777777777777786</c:v>
                </c:pt>
                <c:pt idx="7">
                  <c:v>88.888888888888886</c:v>
                </c:pt>
                <c:pt idx="8">
                  <c:v>83.333333333333343</c:v>
                </c:pt>
                <c:pt idx="9">
                  <c:v>77.777777777777786</c:v>
                </c:pt>
                <c:pt idx="10">
                  <c:v>94.444444444444443</c:v>
                </c:pt>
                <c:pt idx="11">
                  <c:v>66.666666666666657</c:v>
                </c:pt>
                <c:pt idx="12">
                  <c:v>66.666666666666657</c:v>
                </c:pt>
                <c:pt idx="13">
                  <c:v>66.666666666666657</c:v>
                </c:pt>
                <c:pt idx="14">
                  <c:v>83.333333333333343</c:v>
                </c:pt>
                <c:pt idx="15">
                  <c:v>88.888888888888886</c:v>
                </c:pt>
                <c:pt idx="16">
                  <c:v>83.333333333333343</c:v>
                </c:pt>
                <c:pt idx="17">
                  <c:v>44.444444444444443</c:v>
                </c:pt>
                <c:pt idx="18">
                  <c:v>55.555555555555557</c:v>
                </c:pt>
                <c:pt idx="19">
                  <c:v>72.222222222222214</c:v>
                </c:pt>
                <c:pt idx="20">
                  <c:v>72.222222222222214</c:v>
                </c:pt>
                <c:pt idx="21">
                  <c:v>66.666666666666657</c:v>
                </c:pt>
                <c:pt idx="22">
                  <c:v>72.222222222222214</c:v>
                </c:pt>
                <c:pt idx="23">
                  <c:v>77.777777777777786</c:v>
                </c:pt>
                <c:pt idx="24">
                  <c:v>72.222222222222214</c:v>
                </c:pt>
                <c:pt idx="25">
                  <c:v>88.888888888888886</c:v>
                </c:pt>
                <c:pt idx="26">
                  <c:v>83.333333333333343</c:v>
                </c:pt>
                <c:pt idx="27">
                  <c:v>77.777777777777786</c:v>
                </c:pt>
                <c:pt idx="28">
                  <c:v>94.444444444444443</c:v>
                </c:pt>
                <c:pt idx="29">
                  <c:v>77.777777777777786</c:v>
                </c:pt>
                <c:pt idx="30">
                  <c:v>83.333333333333343</c:v>
                </c:pt>
                <c:pt idx="31">
                  <c:v>94.444444444444443</c:v>
                </c:pt>
                <c:pt idx="32">
                  <c:v>72.222222222222214</c:v>
                </c:pt>
                <c:pt idx="33">
                  <c:v>50</c:v>
                </c:pt>
                <c:pt idx="34">
                  <c:v>0</c:v>
                </c:pt>
                <c:pt idx="35">
                  <c:v>0</c:v>
                </c:pt>
                <c:pt idx="36">
                  <c:v>0</c:v>
                </c:pt>
                <c:pt idx="37">
                  <c:v>0</c:v>
                </c:pt>
                <c:pt idx="38">
                  <c:v>0</c:v>
                </c:pt>
                <c:pt idx="39">
                  <c:v>0</c:v>
                </c:pt>
              </c:numCache>
            </c:numRef>
          </c:yVal>
          <c:smooth val="0"/>
        </c:ser>
        <c:dLbls>
          <c:showLegendKey val="0"/>
          <c:showVal val="0"/>
          <c:showCatName val="0"/>
          <c:showSerName val="0"/>
          <c:showPercent val="0"/>
          <c:showBubbleSize val="0"/>
        </c:dLbls>
        <c:axId val="117113408"/>
        <c:axId val="117113984"/>
      </c:scatterChart>
      <c:valAx>
        <c:axId val="117113408"/>
        <c:scaling>
          <c:orientation val="minMax"/>
        </c:scaling>
        <c:delete val="0"/>
        <c:axPos val="b"/>
        <c:majorGridlines/>
        <c:title>
          <c:tx>
            <c:rich>
              <a:bodyPr/>
              <a:lstStyle/>
              <a:p>
                <a:pPr>
                  <a:defRPr sz="1050" b="1" i="0" u="none" strike="noStrike" baseline="0">
                    <a:solidFill>
                      <a:srgbClr val="000000"/>
                    </a:solidFill>
                    <a:latin typeface="Calibri"/>
                    <a:ea typeface="Calibri"/>
                    <a:cs typeface="Calibri"/>
                  </a:defRPr>
                </a:pPr>
                <a:r>
                  <a:rPr lang="ru-RU" sz="1050"/>
                  <a:t>Номер учащегося по журналу</a:t>
                </a:r>
              </a:p>
            </c:rich>
          </c:tx>
          <c:overlay val="0"/>
        </c:title>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7113984"/>
        <c:crosses val="autoZero"/>
        <c:crossBetween val="midCat"/>
        <c:majorUnit val="1"/>
      </c:valAx>
      <c:valAx>
        <c:axId val="117113984"/>
        <c:scaling>
          <c:orientation val="minMax"/>
          <c:max val="100"/>
        </c:scaling>
        <c:delete val="0"/>
        <c:axPos val="l"/>
        <c:majorGridlines/>
        <c:title>
          <c:tx>
            <c:rich>
              <a:bodyPr/>
              <a:lstStyle/>
              <a:p>
                <a:pPr>
                  <a:defRPr sz="1000" b="1" i="0" u="none" strike="noStrike" baseline="0">
                    <a:solidFill>
                      <a:srgbClr val="000000"/>
                    </a:solidFill>
                    <a:latin typeface="Cambria"/>
                    <a:ea typeface="Cambria"/>
                    <a:cs typeface="Cambria"/>
                  </a:defRPr>
                </a:pPr>
                <a:r>
                  <a:rPr lang="ru-RU"/>
                  <a:t>процент выполнения  заданий базового уровня</a:t>
                </a:r>
              </a:p>
            </c:rich>
          </c:tx>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ru-RU"/>
          </a:p>
        </c:txPr>
        <c:crossAx val="117113408"/>
        <c:crosses val="autoZero"/>
        <c:crossBetween val="midCat"/>
      </c:valAx>
    </c:plotArea>
    <c:legend>
      <c:legendPos val="b"/>
      <c:layout>
        <c:manualLayout>
          <c:xMode val="edge"/>
          <c:yMode val="edge"/>
          <c:x val="0.78669740259382581"/>
          <c:y val="2.9205839236650603E-2"/>
          <c:w val="0.18053181967154419"/>
          <c:h val="5.4319297044391188E-2"/>
        </c:manualLayout>
      </c:layout>
      <c:overlay val="0"/>
      <c:txPr>
        <a:bodyPr/>
        <a:lstStyle/>
        <a:p>
          <a:pPr>
            <a:defRPr sz="1200" b="0" i="0" u="none" strike="noStrike" baseline="0">
              <a:solidFill>
                <a:srgbClr val="000000"/>
              </a:solidFill>
              <a:latin typeface="Cambria"/>
              <a:ea typeface="Cambria"/>
              <a:cs typeface="Cambria"/>
            </a:defRPr>
          </a:pPr>
          <a:endParaRPr lang="ru-RU"/>
        </a:p>
      </c:txPr>
    </c:legend>
    <c:plotVisOnly val="0"/>
    <c:dispBlanksAs val="gap"/>
    <c:showDLblsOverMax val="0"/>
  </c:chart>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044" l="0.7000000000000004" r="0.7000000000000004" t="0.75000000000000044" header="0.30000000000000021" footer="0.3000000000000002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floor>
    <c:sideWall>
      <c:thickness val="0"/>
    </c:sideWall>
    <c:backWall>
      <c:thickness val="0"/>
    </c:backWall>
    <c:plotArea>
      <c:layout/>
      <c:bar3DChart>
        <c:barDir val="col"/>
        <c:grouping val="clustered"/>
        <c:varyColors val="0"/>
        <c:ser>
          <c:idx val="1"/>
          <c:order val="0"/>
          <c:tx>
            <c:strRef>
              <c:f>Базовый_З!$A$6</c:f>
              <c:strCache>
                <c:ptCount val="1"/>
                <c:pt idx="0">
                  <c:v>Доля учащихся полностьювы полнивших задание</c:v>
                </c:pt>
              </c:strCache>
            </c:strRef>
          </c:tx>
          <c:spPr>
            <a:solidFill>
              <a:schemeClr val="bg2">
                <a:lumMod val="50000"/>
              </a:schemeClr>
            </a:solidFill>
          </c:spPr>
          <c:invertIfNegative val="0"/>
          <c:cat>
            <c:numRef>
              <c:f>Базовый_З!$B$4:$S$4</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Базовый_З!$B$6:$S$6</c:f>
              <c:numCache>
                <c:formatCode>0.0</c:formatCode>
                <c:ptCount val="18"/>
                <c:pt idx="0">
                  <c:v>82.35294117647058</c:v>
                </c:pt>
                <c:pt idx="1">
                  <c:v>91.17647058823529</c:v>
                </c:pt>
                <c:pt idx="2">
                  <c:v>91.17647058823529</c:v>
                </c:pt>
                <c:pt idx="3">
                  <c:v>97.058823529411768</c:v>
                </c:pt>
                <c:pt idx="4">
                  <c:v>79.411764705882348</c:v>
                </c:pt>
                <c:pt idx="5">
                  <c:v>82.35294117647058</c:v>
                </c:pt>
                <c:pt idx="6">
                  <c:v>94.117647058823522</c:v>
                </c:pt>
                <c:pt idx="7">
                  <c:v>82.35294117647058</c:v>
                </c:pt>
                <c:pt idx="8">
                  <c:v>44.117647058823529</c:v>
                </c:pt>
                <c:pt idx="9">
                  <c:v>88.235294117647058</c:v>
                </c:pt>
                <c:pt idx="10">
                  <c:v>61.764705882352942</c:v>
                </c:pt>
                <c:pt idx="11">
                  <c:v>73.529411764705884</c:v>
                </c:pt>
                <c:pt idx="12">
                  <c:v>82.35294117647058</c:v>
                </c:pt>
                <c:pt idx="13">
                  <c:v>73.529411764705884</c:v>
                </c:pt>
                <c:pt idx="14">
                  <c:v>0</c:v>
                </c:pt>
                <c:pt idx="15">
                  <c:v>76.470588235294116</c:v>
                </c:pt>
                <c:pt idx="16">
                  <c:v>97.058823529411768</c:v>
                </c:pt>
                <c:pt idx="17">
                  <c:v>94.117647058823522</c:v>
                </c:pt>
              </c:numCache>
            </c:numRef>
          </c:val>
        </c:ser>
        <c:dLbls>
          <c:showLegendKey val="0"/>
          <c:showVal val="0"/>
          <c:showCatName val="0"/>
          <c:showSerName val="0"/>
          <c:showPercent val="0"/>
          <c:showBubbleSize val="0"/>
        </c:dLbls>
        <c:gapWidth val="150"/>
        <c:shape val="box"/>
        <c:axId val="116014592"/>
        <c:axId val="117114560"/>
        <c:axId val="0"/>
      </c:bar3DChart>
      <c:catAx>
        <c:axId val="116014592"/>
        <c:scaling>
          <c:orientation val="minMax"/>
        </c:scaling>
        <c:delete val="0"/>
        <c:axPos val="b"/>
        <c:title>
          <c:tx>
            <c:rich>
              <a:bodyPr/>
              <a:lstStyle/>
              <a:p>
                <a:pPr>
                  <a:defRPr sz="1200">
                    <a:latin typeface="+mj-lt"/>
                  </a:defRPr>
                </a:pPr>
                <a:r>
                  <a:rPr lang="ru-RU" sz="1200">
                    <a:latin typeface="+mj-lt"/>
                  </a:rPr>
                  <a:t>Номер задания</a:t>
                </a:r>
              </a:p>
            </c:rich>
          </c:tx>
          <c:overlay val="0"/>
        </c:title>
        <c:numFmt formatCode="General" sourceLinked="1"/>
        <c:majorTickMark val="out"/>
        <c:minorTickMark val="none"/>
        <c:tickLblPos val="nextTo"/>
        <c:txPr>
          <a:bodyPr/>
          <a:lstStyle/>
          <a:p>
            <a:pPr>
              <a:defRPr sz="1100"/>
            </a:pPr>
            <a:endParaRPr lang="ru-RU"/>
          </a:p>
        </c:txPr>
        <c:crossAx val="117114560"/>
        <c:crosses val="autoZero"/>
        <c:auto val="1"/>
        <c:lblAlgn val="ctr"/>
        <c:lblOffset val="100"/>
        <c:noMultiLvlLbl val="0"/>
      </c:catAx>
      <c:valAx>
        <c:axId val="117114560"/>
        <c:scaling>
          <c:orientation val="minMax"/>
        </c:scaling>
        <c:delete val="0"/>
        <c:axPos val="l"/>
        <c:majorGridlines/>
        <c:title>
          <c:tx>
            <c:rich>
              <a:bodyPr rot="-5400000" vert="horz"/>
              <a:lstStyle/>
              <a:p>
                <a:pPr>
                  <a:defRPr sz="1100">
                    <a:latin typeface="+mj-lt"/>
                  </a:defRPr>
                </a:pPr>
                <a:r>
                  <a:rPr lang="ru-RU" sz="1100">
                    <a:latin typeface="+mj-lt"/>
                  </a:rPr>
                  <a:t>Доля выполнения задания</a:t>
                </a:r>
              </a:p>
            </c:rich>
          </c:tx>
          <c:overlay val="0"/>
        </c:title>
        <c:numFmt formatCode="0" sourceLinked="0"/>
        <c:majorTickMark val="out"/>
        <c:minorTickMark val="none"/>
        <c:tickLblPos val="nextTo"/>
        <c:txPr>
          <a:bodyPr/>
          <a:lstStyle/>
          <a:p>
            <a:pPr>
              <a:defRPr sz="1100"/>
            </a:pPr>
            <a:endParaRPr lang="ru-RU"/>
          </a:p>
        </c:txPr>
        <c:crossAx val="11601459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ru-RU"/>
              <a:t>Выполнение заданий повышенного уровня (задание 19)</a:t>
            </a:r>
          </a:p>
        </c:rich>
      </c:tx>
      <c:layout>
        <c:manualLayout>
          <c:xMode val="edge"/>
          <c:yMode val="edge"/>
          <c:x val="0.38748066964602396"/>
          <c:y val="2.800477213075637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9146310911836137"/>
          <c:y val="0.11559446677556914"/>
          <c:w val="0.79142292744328779"/>
          <c:h val="0.62153699319053646"/>
        </c:manualLayout>
      </c:layout>
      <c:bar3DChart>
        <c:barDir val="col"/>
        <c:grouping val="clustered"/>
        <c:varyColors val="0"/>
        <c:ser>
          <c:idx val="1"/>
          <c:order val="0"/>
          <c:tx>
            <c:strRef>
              <c:f>Пов_З!$D$6</c:f>
              <c:strCache>
                <c:ptCount val="1"/>
              </c:strCache>
            </c:strRef>
          </c:tx>
          <c:invertIfNegative val="0"/>
          <c:cat>
            <c:strRef>
              <c:f>Пов_З!$A$7:$A$7</c:f>
              <c:strCache>
                <c:ptCount val="1"/>
                <c:pt idx="0">
                  <c:v>Задание 19</c:v>
                </c:pt>
              </c:strCache>
            </c:strRef>
          </c:cat>
          <c:val>
            <c:numRef>
              <c:f>Пов_З!$D$7:$D$7</c:f>
            </c:numRef>
          </c:val>
        </c:ser>
        <c:ser>
          <c:idx val="2"/>
          <c:order val="1"/>
          <c:tx>
            <c:strRef>
              <c:f>Пов_З!$E$6</c:f>
              <c:strCache>
                <c:ptCount val="1"/>
                <c:pt idx="0">
                  <c:v>Выполнили полностью</c:v>
                </c:pt>
              </c:strCache>
            </c:strRef>
          </c:tx>
          <c:spPr>
            <a:solidFill>
              <a:schemeClr val="accent4">
                <a:lumMod val="60000"/>
                <a:lumOff val="40000"/>
              </a:schemeClr>
            </a:solidFill>
          </c:spPr>
          <c:invertIfNegative val="0"/>
          <c:cat>
            <c:strRef>
              <c:f>Пов_З!$A$7:$A$7</c:f>
              <c:strCache>
                <c:ptCount val="1"/>
                <c:pt idx="0">
                  <c:v>Задание 19</c:v>
                </c:pt>
              </c:strCache>
            </c:strRef>
          </c:cat>
          <c:val>
            <c:numRef>
              <c:f>Пов_З!$E$7:$E$7</c:f>
              <c:numCache>
                <c:formatCode>0.0</c:formatCode>
                <c:ptCount val="1"/>
                <c:pt idx="0">
                  <c:v>29.411764705882355</c:v>
                </c:pt>
              </c:numCache>
            </c:numRef>
          </c:val>
        </c:ser>
        <c:ser>
          <c:idx val="3"/>
          <c:order val="2"/>
          <c:tx>
            <c:strRef>
              <c:f>Пов_З!$F$6</c:f>
              <c:strCache>
                <c:ptCount val="1"/>
              </c:strCache>
            </c:strRef>
          </c:tx>
          <c:invertIfNegative val="0"/>
          <c:cat>
            <c:strRef>
              <c:f>Пов_З!$A$7:$A$7</c:f>
              <c:strCache>
                <c:ptCount val="1"/>
                <c:pt idx="0">
                  <c:v>Задание 19</c:v>
                </c:pt>
              </c:strCache>
            </c:strRef>
          </c:cat>
          <c:val>
            <c:numRef>
              <c:f>Пов_З!$F$7:$F$7</c:f>
            </c:numRef>
          </c:val>
        </c:ser>
        <c:ser>
          <c:idx val="4"/>
          <c:order val="3"/>
          <c:tx>
            <c:strRef>
              <c:f>Пов_З!$G$6</c:f>
              <c:strCache>
                <c:ptCount val="1"/>
                <c:pt idx="0">
                  <c:v>Набрали от 0,4 до 1,6 балла</c:v>
                </c:pt>
              </c:strCache>
            </c:strRef>
          </c:tx>
          <c:spPr>
            <a:solidFill>
              <a:schemeClr val="accent5">
                <a:lumMod val="60000"/>
                <a:lumOff val="40000"/>
              </a:schemeClr>
            </a:solidFill>
          </c:spPr>
          <c:invertIfNegative val="0"/>
          <c:cat>
            <c:strRef>
              <c:f>Пов_З!$A$7:$A$7</c:f>
              <c:strCache>
                <c:ptCount val="1"/>
                <c:pt idx="0">
                  <c:v>Задание 19</c:v>
                </c:pt>
              </c:strCache>
            </c:strRef>
          </c:cat>
          <c:val>
            <c:numRef>
              <c:f>Пов_З!$G$7:$G$7</c:f>
              <c:numCache>
                <c:formatCode>0.0</c:formatCode>
                <c:ptCount val="1"/>
                <c:pt idx="0">
                  <c:v>47.058823529411761</c:v>
                </c:pt>
              </c:numCache>
            </c:numRef>
          </c:val>
        </c:ser>
        <c:ser>
          <c:idx val="5"/>
          <c:order val="4"/>
          <c:tx>
            <c:strRef>
              <c:f>Пов_З!$H$6</c:f>
              <c:strCache>
                <c:ptCount val="1"/>
              </c:strCache>
            </c:strRef>
          </c:tx>
          <c:invertIfNegative val="0"/>
          <c:cat>
            <c:strRef>
              <c:f>Пов_З!$A$7:$A$7</c:f>
              <c:strCache>
                <c:ptCount val="1"/>
                <c:pt idx="0">
                  <c:v>Задание 19</c:v>
                </c:pt>
              </c:strCache>
            </c:strRef>
          </c:cat>
          <c:val>
            <c:numRef>
              <c:f>Пов_З!$H$7:$H$7</c:f>
            </c:numRef>
          </c:val>
        </c:ser>
        <c:ser>
          <c:idx val="6"/>
          <c:order val="5"/>
          <c:tx>
            <c:strRef>
              <c:f>Пов_З!$I$6</c:f>
              <c:strCache>
                <c:ptCount val="1"/>
                <c:pt idx="0">
                  <c:v>Выполнили неверно</c:v>
                </c:pt>
              </c:strCache>
            </c:strRef>
          </c:tx>
          <c:spPr>
            <a:solidFill>
              <a:schemeClr val="accent2">
                <a:lumMod val="75000"/>
              </a:schemeClr>
            </a:solidFill>
          </c:spPr>
          <c:invertIfNegative val="0"/>
          <c:cat>
            <c:strRef>
              <c:f>Пов_З!$A$7:$A$7</c:f>
              <c:strCache>
                <c:ptCount val="1"/>
                <c:pt idx="0">
                  <c:v>Задание 19</c:v>
                </c:pt>
              </c:strCache>
            </c:strRef>
          </c:cat>
          <c:val>
            <c:numRef>
              <c:f>Пов_З!$I$7:$I$7</c:f>
              <c:numCache>
                <c:formatCode>0.0</c:formatCode>
                <c:ptCount val="1"/>
                <c:pt idx="0">
                  <c:v>0</c:v>
                </c:pt>
              </c:numCache>
            </c:numRef>
          </c:val>
        </c:ser>
        <c:ser>
          <c:idx val="7"/>
          <c:order val="6"/>
          <c:tx>
            <c:strRef>
              <c:f>Пов_З!$J$6</c:f>
              <c:strCache>
                <c:ptCount val="1"/>
              </c:strCache>
            </c:strRef>
          </c:tx>
          <c:invertIfNegative val="0"/>
          <c:cat>
            <c:strRef>
              <c:f>Пов_З!$A$7:$A$7</c:f>
              <c:strCache>
                <c:ptCount val="1"/>
                <c:pt idx="0">
                  <c:v>Задание 19</c:v>
                </c:pt>
              </c:strCache>
            </c:strRef>
          </c:cat>
          <c:val>
            <c:numRef>
              <c:f>Пов_З!$J$7:$J$7</c:f>
            </c:numRef>
          </c:val>
        </c:ser>
        <c:ser>
          <c:idx val="8"/>
          <c:order val="7"/>
          <c:tx>
            <c:strRef>
              <c:f>Пов_З!$K$6</c:f>
              <c:strCache>
                <c:ptCount val="1"/>
                <c:pt idx="0">
                  <c:v>Не приступили к выполнению</c:v>
                </c:pt>
              </c:strCache>
            </c:strRef>
          </c:tx>
          <c:invertIfNegative val="0"/>
          <c:cat>
            <c:strRef>
              <c:f>Пов_З!$A$7:$A$7</c:f>
              <c:strCache>
                <c:ptCount val="1"/>
                <c:pt idx="0">
                  <c:v>Задание 19</c:v>
                </c:pt>
              </c:strCache>
            </c:strRef>
          </c:cat>
          <c:val>
            <c:numRef>
              <c:f>Пов_З!$K$7:$K$7</c:f>
              <c:numCache>
                <c:formatCode>0.0</c:formatCode>
                <c:ptCount val="1"/>
                <c:pt idx="0">
                  <c:v>23.52941176470588</c:v>
                </c:pt>
              </c:numCache>
            </c:numRef>
          </c:val>
        </c:ser>
        <c:dLbls>
          <c:showLegendKey val="0"/>
          <c:showVal val="0"/>
          <c:showCatName val="0"/>
          <c:showSerName val="0"/>
          <c:showPercent val="0"/>
          <c:showBubbleSize val="0"/>
        </c:dLbls>
        <c:gapWidth val="150"/>
        <c:shape val="cylinder"/>
        <c:axId val="119392768"/>
        <c:axId val="117116288"/>
        <c:axId val="0"/>
      </c:bar3DChart>
      <c:catAx>
        <c:axId val="11939276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17116288"/>
        <c:crosses val="autoZero"/>
        <c:auto val="1"/>
        <c:lblAlgn val="ctr"/>
        <c:lblOffset val="100"/>
        <c:noMultiLvlLbl val="0"/>
      </c:catAx>
      <c:valAx>
        <c:axId val="117116288"/>
        <c:scaling>
          <c:orientation val="minMax"/>
          <c:max val="100"/>
        </c:scaling>
        <c:delete val="0"/>
        <c:axPos val="l"/>
        <c:majorGridlines/>
        <c:title>
          <c:tx>
            <c:rich>
              <a:bodyPr/>
              <a:lstStyle/>
              <a:p>
                <a:pPr>
                  <a:defRPr sz="1200" b="1" i="0" u="none" strike="noStrike" baseline="0">
                    <a:solidFill>
                      <a:srgbClr val="000000"/>
                    </a:solidFill>
                    <a:latin typeface="Calibri"/>
                    <a:ea typeface="Calibri"/>
                    <a:cs typeface="Calibri"/>
                  </a:defRPr>
                </a:pPr>
                <a:r>
                  <a:rPr lang="ru-RU"/>
                  <a:t>Доля  учеников</a:t>
                </a:r>
              </a:p>
            </c:rich>
          </c:tx>
          <c:layout>
            <c:manualLayout>
              <c:xMode val="edge"/>
              <c:yMode val="edge"/>
              <c:x val="0.13546830294861792"/>
              <c:y val="0.25253352421856362"/>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19392768"/>
        <c:crosses val="autoZero"/>
        <c:crossBetween val="between"/>
      </c:valAx>
      <c:dTable>
        <c:showHorzBorder val="1"/>
        <c:showVertBorder val="1"/>
        <c:showOutline val="1"/>
        <c:showKeys val="1"/>
        <c:txPr>
          <a:bodyPr/>
          <a:lstStyle/>
          <a:p>
            <a:pPr rtl="0">
              <a:defRPr sz="1100" b="1" i="0" u="none" strike="noStrike" baseline="0">
                <a:solidFill>
                  <a:srgbClr val="000000"/>
                </a:solidFill>
                <a:latin typeface="Calibri"/>
                <a:ea typeface="Calibri"/>
                <a:cs typeface="Calibri"/>
              </a:defRPr>
            </a:pPr>
            <a:endParaRPr lang="ru-RU"/>
          </a:p>
        </c:txPr>
      </c:dTable>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ru-RU"/>
    </a:p>
  </c:txPr>
  <c:printSettings>
    <c:headerFooter/>
    <c:pageMargins b="0.75" l="0.7" r="0.7" t="0.75" header="0.3" footer="0.3"/>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ru-RU"/>
              <a:t>Выполнение заданий повышенного уровня (задание 20 и 21)</a:t>
            </a:r>
          </a:p>
        </c:rich>
      </c:tx>
      <c:layout>
        <c:manualLayout>
          <c:xMode val="edge"/>
          <c:yMode val="edge"/>
          <c:x val="0.38748066964602396"/>
          <c:y val="2.8004772130756379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9146310911836137"/>
          <c:y val="0.11559446677556914"/>
          <c:w val="0.79142292744328779"/>
          <c:h val="0.62153699319053646"/>
        </c:manualLayout>
      </c:layout>
      <c:bar3DChart>
        <c:barDir val="col"/>
        <c:grouping val="clustered"/>
        <c:varyColors val="0"/>
        <c:ser>
          <c:idx val="1"/>
          <c:order val="0"/>
          <c:tx>
            <c:strRef>
              <c:f>Пов_З!$D$6</c:f>
              <c:strCache>
                <c:ptCount val="1"/>
              </c:strCache>
            </c:strRef>
          </c:tx>
          <c:invertIfNegative val="0"/>
          <c:cat>
            <c:strRef>
              <c:f>Пов_З!$A$40:$A$41</c:f>
              <c:strCache>
                <c:ptCount val="2"/>
                <c:pt idx="0">
                  <c:v>Задание 20</c:v>
                </c:pt>
                <c:pt idx="1">
                  <c:v>Задание 21</c:v>
                </c:pt>
              </c:strCache>
            </c:strRef>
          </c:cat>
          <c:val>
            <c:numRef>
              <c:f>Пов_З!$D$7:$D$7</c:f>
            </c:numRef>
          </c:val>
        </c:ser>
        <c:ser>
          <c:idx val="2"/>
          <c:order val="1"/>
          <c:tx>
            <c:strRef>
              <c:f>Пов_З!$E$39</c:f>
              <c:strCache>
                <c:ptCount val="1"/>
                <c:pt idx="0">
                  <c:v>Выполнили полностью</c:v>
                </c:pt>
              </c:strCache>
            </c:strRef>
          </c:tx>
          <c:spPr>
            <a:solidFill>
              <a:schemeClr val="accent4">
                <a:lumMod val="60000"/>
                <a:lumOff val="40000"/>
              </a:schemeClr>
            </a:solidFill>
          </c:spPr>
          <c:invertIfNegative val="0"/>
          <c:cat>
            <c:strRef>
              <c:f>Пов_З!$A$40:$A$41</c:f>
              <c:strCache>
                <c:ptCount val="2"/>
                <c:pt idx="0">
                  <c:v>Задание 20</c:v>
                </c:pt>
                <c:pt idx="1">
                  <c:v>Задание 21</c:v>
                </c:pt>
              </c:strCache>
            </c:strRef>
          </c:cat>
          <c:val>
            <c:numRef>
              <c:f>Пов_З!$E$40:$E$41</c:f>
              <c:numCache>
                <c:formatCode>0.0</c:formatCode>
                <c:ptCount val="2"/>
                <c:pt idx="0">
                  <c:v>50</c:v>
                </c:pt>
                <c:pt idx="1">
                  <c:v>29.411764705882355</c:v>
                </c:pt>
              </c:numCache>
            </c:numRef>
          </c:val>
        </c:ser>
        <c:ser>
          <c:idx val="3"/>
          <c:order val="2"/>
          <c:tx>
            <c:strRef>
              <c:f>Пов_З!$F$6</c:f>
              <c:strCache>
                <c:ptCount val="1"/>
              </c:strCache>
            </c:strRef>
          </c:tx>
          <c:invertIfNegative val="0"/>
          <c:cat>
            <c:strRef>
              <c:f>Пов_З!$A$40:$A$41</c:f>
              <c:strCache>
                <c:ptCount val="2"/>
                <c:pt idx="0">
                  <c:v>Задание 20</c:v>
                </c:pt>
                <c:pt idx="1">
                  <c:v>Задание 21</c:v>
                </c:pt>
              </c:strCache>
            </c:strRef>
          </c:cat>
          <c:val>
            <c:numRef>
              <c:f>Пов_З!$F$7:$F$7</c:f>
            </c:numRef>
          </c:val>
        </c:ser>
        <c:ser>
          <c:idx val="4"/>
          <c:order val="3"/>
          <c:tx>
            <c:strRef>
              <c:f>Пов_З!$G$39</c:f>
              <c:strCache>
                <c:ptCount val="1"/>
                <c:pt idx="0">
                  <c:v>Набрали от 0,5 до 1,5 балла</c:v>
                </c:pt>
              </c:strCache>
            </c:strRef>
          </c:tx>
          <c:spPr>
            <a:solidFill>
              <a:schemeClr val="accent5">
                <a:lumMod val="60000"/>
                <a:lumOff val="40000"/>
              </a:schemeClr>
            </a:solidFill>
          </c:spPr>
          <c:invertIfNegative val="0"/>
          <c:cat>
            <c:strRef>
              <c:f>Пов_З!$A$40:$A$41</c:f>
              <c:strCache>
                <c:ptCount val="2"/>
                <c:pt idx="0">
                  <c:v>Задание 20</c:v>
                </c:pt>
                <c:pt idx="1">
                  <c:v>Задание 21</c:v>
                </c:pt>
              </c:strCache>
            </c:strRef>
          </c:cat>
          <c:val>
            <c:numRef>
              <c:f>Пов_З!$G$40:$G$41</c:f>
              <c:numCache>
                <c:formatCode>0.0</c:formatCode>
                <c:ptCount val="2"/>
                <c:pt idx="0">
                  <c:v>5.8823529411764701</c:v>
                </c:pt>
                <c:pt idx="1">
                  <c:v>5.8823529411764701</c:v>
                </c:pt>
              </c:numCache>
            </c:numRef>
          </c:val>
        </c:ser>
        <c:ser>
          <c:idx val="5"/>
          <c:order val="4"/>
          <c:tx>
            <c:strRef>
              <c:f>Пов_З!$H$6</c:f>
              <c:strCache>
                <c:ptCount val="1"/>
              </c:strCache>
            </c:strRef>
          </c:tx>
          <c:invertIfNegative val="0"/>
          <c:cat>
            <c:strRef>
              <c:f>Пов_З!$A$40:$A$41</c:f>
              <c:strCache>
                <c:ptCount val="2"/>
                <c:pt idx="0">
                  <c:v>Задание 20</c:v>
                </c:pt>
                <c:pt idx="1">
                  <c:v>Задание 21</c:v>
                </c:pt>
              </c:strCache>
            </c:strRef>
          </c:cat>
          <c:val>
            <c:numRef>
              <c:f>Пов_З!$H$7:$H$7</c:f>
            </c:numRef>
          </c:val>
        </c:ser>
        <c:ser>
          <c:idx val="6"/>
          <c:order val="5"/>
          <c:tx>
            <c:strRef>
              <c:f>Пов_З!$I$39</c:f>
              <c:strCache>
                <c:ptCount val="1"/>
                <c:pt idx="0">
                  <c:v>Выполнили неверно</c:v>
                </c:pt>
              </c:strCache>
            </c:strRef>
          </c:tx>
          <c:spPr>
            <a:solidFill>
              <a:schemeClr val="accent2">
                <a:lumMod val="75000"/>
              </a:schemeClr>
            </a:solidFill>
          </c:spPr>
          <c:invertIfNegative val="0"/>
          <c:cat>
            <c:strRef>
              <c:f>Пов_З!$A$40:$A$41</c:f>
              <c:strCache>
                <c:ptCount val="2"/>
                <c:pt idx="0">
                  <c:v>Задание 20</c:v>
                </c:pt>
                <c:pt idx="1">
                  <c:v>Задание 21</c:v>
                </c:pt>
              </c:strCache>
            </c:strRef>
          </c:cat>
          <c:val>
            <c:numRef>
              <c:f>Пов_З!$I$40:$I$41</c:f>
              <c:numCache>
                <c:formatCode>0.0</c:formatCode>
                <c:ptCount val="2"/>
                <c:pt idx="0">
                  <c:v>0</c:v>
                </c:pt>
                <c:pt idx="1">
                  <c:v>0</c:v>
                </c:pt>
              </c:numCache>
            </c:numRef>
          </c:val>
        </c:ser>
        <c:ser>
          <c:idx val="7"/>
          <c:order val="6"/>
          <c:tx>
            <c:strRef>
              <c:f>Пов_З!$J$6</c:f>
              <c:strCache>
                <c:ptCount val="1"/>
              </c:strCache>
            </c:strRef>
          </c:tx>
          <c:invertIfNegative val="0"/>
          <c:cat>
            <c:strRef>
              <c:f>Пов_З!$A$40:$A$41</c:f>
              <c:strCache>
                <c:ptCount val="2"/>
                <c:pt idx="0">
                  <c:v>Задание 20</c:v>
                </c:pt>
                <c:pt idx="1">
                  <c:v>Задание 21</c:v>
                </c:pt>
              </c:strCache>
            </c:strRef>
          </c:cat>
          <c:val>
            <c:numRef>
              <c:f>Пов_З!$J$7:$J$7</c:f>
            </c:numRef>
          </c:val>
        </c:ser>
        <c:ser>
          <c:idx val="8"/>
          <c:order val="7"/>
          <c:tx>
            <c:strRef>
              <c:f>Пов_З!$K$39</c:f>
              <c:strCache>
                <c:ptCount val="1"/>
                <c:pt idx="0">
                  <c:v>Не приступили к выполнению</c:v>
                </c:pt>
              </c:strCache>
            </c:strRef>
          </c:tx>
          <c:invertIfNegative val="0"/>
          <c:cat>
            <c:strRef>
              <c:f>Пов_З!$A$40:$A$41</c:f>
              <c:strCache>
                <c:ptCount val="2"/>
                <c:pt idx="0">
                  <c:v>Задание 20</c:v>
                </c:pt>
                <c:pt idx="1">
                  <c:v>Задание 21</c:v>
                </c:pt>
              </c:strCache>
            </c:strRef>
          </c:cat>
          <c:val>
            <c:numRef>
              <c:f>Пов_З!$K$40:$K$41</c:f>
              <c:numCache>
                <c:formatCode>0.0</c:formatCode>
                <c:ptCount val="2"/>
                <c:pt idx="0">
                  <c:v>44.117647058823529</c:v>
                </c:pt>
                <c:pt idx="1">
                  <c:v>64.705882352941174</c:v>
                </c:pt>
              </c:numCache>
            </c:numRef>
          </c:val>
        </c:ser>
        <c:dLbls>
          <c:showLegendKey val="0"/>
          <c:showVal val="0"/>
          <c:showCatName val="0"/>
          <c:showSerName val="0"/>
          <c:showPercent val="0"/>
          <c:showBubbleSize val="0"/>
        </c:dLbls>
        <c:gapWidth val="150"/>
        <c:shape val="cylinder"/>
        <c:axId val="119476736"/>
        <c:axId val="117118592"/>
        <c:axId val="0"/>
      </c:bar3DChart>
      <c:catAx>
        <c:axId val="1194767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17118592"/>
        <c:crosses val="autoZero"/>
        <c:auto val="1"/>
        <c:lblAlgn val="ctr"/>
        <c:lblOffset val="100"/>
        <c:noMultiLvlLbl val="0"/>
      </c:catAx>
      <c:valAx>
        <c:axId val="117118592"/>
        <c:scaling>
          <c:orientation val="minMax"/>
          <c:max val="100"/>
        </c:scaling>
        <c:delete val="0"/>
        <c:axPos val="l"/>
        <c:majorGridlines/>
        <c:title>
          <c:tx>
            <c:rich>
              <a:bodyPr/>
              <a:lstStyle/>
              <a:p>
                <a:pPr>
                  <a:defRPr sz="1200" b="1" i="0" u="none" strike="noStrike" baseline="0">
                    <a:solidFill>
                      <a:srgbClr val="000000"/>
                    </a:solidFill>
                    <a:latin typeface="Calibri"/>
                    <a:ea typeface="Calibri"/>
                    <a:cs typeface="Calibri"/>
                  </a:defRPr>
                </a:pPr>
                <a:r>
                  <a:rPr lang="ru-RU"/>
                  <a:t>Доля  учеников</a:t>
                </a:r>
              </a:p>
            </c:rich>
          </c:tx>
          <c:layout>
            <c:manualLayout>
              <c:xMode val="edge"/>
              <c:yMode val="edge"/>
              <c:x val="0.13546830294861792"/>
              <c:y val="0.25253352421856362"/>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19476736"/>
        <c:crosses val="autoZero"/>
        <c:crossBetween val="between"/>
      </c:valAx>
      <c:dTable>
        <c:showHorzBorder val="1"/>
        <c:showVertBorder val="1"/>
        <c:showOutline val="1"/>
        <c:showKeys val="1"/>
        <c:txPr>
          <a:bodyPr/>
          <a:lstStyle/>
          <a:p>
            <a:pPr rtl="0">
              <a:defRPr sz="1100" b="1" i="0" u="none" strike="noStrike" baseline="0">
                <a:solidFill>
                  <a:srgbClr val="000000"/>
                </a:solidFill>
                <a:latin typeface="Calibri"/>
                <a:ea typeface="Calibri"/>
                <a:cs typeface="Calibri"/>
              </a:defRPr>
            </a:pPr>
            <a:endParaRPr lang="ru-RU"/>
          </a:p>
        </c:txPr>
      </c:dTable>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ru-RU"/>
    </a:p>
  </c:txPr>
  <c:printSettings>
    <c:headerFooter/>
    <c:pageMargins b="0.75" l="0.7" r="0.7" t="0.75" header="0.3" footer="0.3"/>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2</xdr:col>
      <xdr:colOff>181996</xdr:colOff>
      <xdr:row>2</xdr:row>
      <xdr:rowOff>55790</xdr:rowOff>
    </xdr:from>
    <xdr:to>
      <xdr:col>15</xdr:col>
      <xdr:colOff>1701</xdr:colOff>
      <xdr:row>36</xdr:row>
      <xdr:rowOff>13606</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9</xdr:row>
      <xdr:rowOff>57149</xdr:rowOff>
    </xdr:from>
    <xdr:to>
      <xdr:col>22</xdr:col>
      <xdr:colOff>209550</xdr:colOff>
      <xdr:row>19</xdr:row>
      <xdr:rowOff>285749</xdr:rowOff>
    </xdr:to>
    <xdr:graphicFrame macro="">
      <xdr:nvGraphicFramePr>
        <xdr:cNvPr id="1600554"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95250</xdr:rowOff>
    </xdr:from>
    <xdr:to>
      <xdr:col>6</xdr:col>
      <xdr:colOff>209550</xdr:colOff>
      <xdr:row>31</xdr:row>
      <xdr:rowOff>76200</xdr:rowOff>
    </xdr:to>
    <xdr:graphicFrame macro="">
      <xdr:nvGraphicFramePr>
        <xdr:cNvPr id="1060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542924</xdr:colOff>
      <xdr:row>9</xdr:row>
      <xdr:rowOff>109536</xdr:rowOff>
    </xdr:from>
    <xdr:to>
      <xdr:col>11</xdr:col>
      <xdr:colOff>533399</xdr:colOff>
      <xdr:row>34</xdr:row>
      <xdr:rowOff>123825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104776</xdr:colOff>
      <xdr:row>5</xdr:row>
      <xdr:rowOff>76200</xdr:rowOff>
    </xdr:from>
    <xdr:to>
      <xdr:col>6</xdr:col>
      <xdr:colOff>381001</xdr:colOff>
      <xdr:row>32</xdr:row>
      <xdr:rowOff>76200</xdr:rowOff>
    </xdr:to>
    <xdr:graphicFrame macro="">
      <xdr:nvGraphicFramePr>
        <xdr:cNvPr id="1069441"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171450</xdr:colOff>
      <xdr:row>35</xdr:row>
      <xdr:rowOff>38100</xdr:rowOff>
    </xdr:from>
    <xdr:to>
      <xdr:col>6</xdr:col>
      <xdr:colOff>533400</xdr:colOff>
      <xdr:row>69</xdr:row>
      <xdr:rowOff>161925</xdr:rowOff>
    </xdr:to>
    <xdr:graphicFrame macro="">
      <xdr:nvGraphicFramePr>
        <xdr:cNvPr id="106944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7</xdr:row>
      <xdr:rowOff>66675</xdr:rowOff>
    </xdr:from>
    <xdr:to>
      <xdr:col>18</xdr:col>
      <xdr:colOff>276225</xdr:colOff>
      <xdr:row>31</xdr:row>
      <xdr:rowOff>123825</xdr:rowOff>
    </xdr:to>
    <xdr:graphicFrame macro="">
      <xdr:nvGraphicFramePr>
        <xdr:cNvPr id="173781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8</xdr:row>
      <xdr:rowOff>9525</xdr:rowOff>
    </xdr:from>
    <xdr:to>
      <xdr:col>13</xdr:col>
      <xdr:colOff>285750</xdr:colOff>
      <xdr:row>33</xdr:row>
      <xdr:rowOff>152400</xdr:rowOff>
    </xdr:to>
    <xdr:graphicFrame macro="">
      <xdr:nvGraphicFramePr>
        <xdr:cNvPr id="192741"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42</xdr:row>
      <xdr:rowOff>9525</xdr:rowOff>
    </xdr:from>
    <xdr:to>
      <xdr:col>13</xdr:col>
      <xdr:colOff>285750</xdr:colOff>
      <xdr:row>67</xdr:row>
      <xdr:rowOff>152400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200024</xdr:colOff>
      <xdr:row>12</xdr:row>
      <xdr:rowOff>14286</xdr:rowOff>
    </xdr:from>
    <xdr:to>
      <xdr:col>6</xdr:col>
      <xdr:colOff>533399</xdr:colOff>
      <xdr:row>32</xdr:row>
      <xdr:rowOff>57149</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55</xdr:row>
      <xdr:rowOff>157161</xdr:rowOff>
    </xdr:from>
    <xdr:to>
      <xdr:col>6</xdr:col>
      <xdr:colOff>38100</xdr:colOff>
      <xdr:row>76</xdr:row>
      <xdr:rowOff>57149</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105</xdr:row>
      <xdr:rowOff>0</xdr:rowOff>
    </xdr:from>
    <xdr:to>
      <xdr:col>6</xdr:col>
      <xdr:colOff>590550</xdr:colOff>
      <xdr:row>125</xdr:row>
      <xdr:rowOff>61913</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17</xdr:row>
      <xdr:rowOff>228600</xdr:rowOff>
    </xdr:from>
    <xdr:to>
      <xdr:col>15</xdr:col>
      <xdr:colOff>371475</xdr:colOff>
      <xdr:row>47</xdr:row>
      <xdr:rowOff>104775</xdr:rowOff>
    </xdr:to>
    <xdr:graphicFrame macro="">
      <xdr:nvGraphicFramePr>
        <xdr:cNvPr id="22856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S114"/>
  <sheetViews>
    <sheetView topLeftCell="B4" zoomScale="110" zoomScaleNormal="110" workbookViewId="0">
      <selection activeCell="D20" sqref="D20:D53"/>
    </sheetView>
  </sheetViews>
  <sheetFormatPr defaultRowHeight="12.75" x14ac:dyDescent="0.2"/>
  <cols>
    <col min="1" max="1" width="0.85546875" style="1" hidden="1" customWidth="1"/>
    <col min="2" max="2" width="4.140625" style="1" customWidth="1"/>
    <col min="3" max="3" width="6.140625" style="54" customWidth="1"/>
    <col min="4" max="4" width="25" style="1" customWidth="1"/>
    <col min="5" max="5" width="20.28515625" style="1" customWidth="1"/>
    <col min="6" max="6" width="13.7109375" style="1" customWidth="1"/>
    <col min="7" max="7" width="11.5703125" style="1" customWidth="1"/>
    <col min="8" max="8" width="11.42578125" style="1" customWidth="1"/>
    <col min="9" max="9" width="16" style="1" customWidth="1"/>
    <col min="10" max="10" width="12.140625" style="1" customWidth="1"/>
    <col min="11" max="12" width="5.140625" style="1" customWidth="1"/>
    <col min="13" max="13" width="6.5703125" style="1" customWidth="1"/>
    <col min="14" max="14" width="9.7109375" style="1" hidden="1" customWidth="1"/>
    <col min="15" max="15" width="12.85546875" style="1" customWidth="1"/>
    <col min="16" max="16" width="8.140625" style="1" customWidth="1"/>
    <col min="17" max="18" width="9.140625" style="1"/>
    <col min="19" max="19" width="0" style="1" hidden="1" customWidth="1"/>
    <col min="20" max="16384" width="9.140625" style="1"/>
  </cols>
  <sheetData>
    <row r="1" spans="1:19" s="4" customFormat="1" ht="30.75" customHeight="1" thickBot="1" x14ac:dyDescent="0.3">
      <c r="A1" s="225">
        <v>130310</v>
      </c>
      <c r="B1" s="57"/>
      <c r="C1" s="58"/>
      <c r="D1" s="57"/>
      <c r="E1" s="59"/>
      <c r="F1" s="57"/>
      <c r="G1" s="59" t="s">
        <v>8</v>
      </c>
      <c r="H1" s="60" t="s">
        <v>295</v>
      </c>
      <c r="I1" s="59" t="s">
        <v>9</v>
      </c>
      <c r="J1" s="60" t="s">
        <v>19</v>
      </c>
      <c r="L1" s="13"/>
      <c r="S1" s="4">
        <f>IF(S19=0,0,1)</f>
        <v>1</v>
      </c>
    </row>
    <row r="2" spans="1:19" ht="13.5" thickBot="1" x14ac:dyDescent="0.25">
      <c r="A2" s="226">
        <v>22</v>
      </c>
      <c r="B2" s="61"/>
      <c r="C2" s="62"/>
      <c r="D2" s="63"/>
      <c r="E2" s="63"/>
      <c r="F2" s="63"/>
      <c r="G2" s="63"/>
      <c r="H2" s="63"/>
      <c r="I2" s="63"/>
      <c r="J2" s="63"/>
      <c r="K2" s="2"/>
      <c r="L2" s="2"/>
    </row>
    <row r="3" spans="1:19" s="3" customFormat="1" ht="36" customHeight="1" thickBot="1" x14ac:dyDescent="0.25">
      <c r="A3" s="227">
        <v>29</v>
      </c>
      <c r="B3" s="471" t="s">
        <v>141</v>
      </c>
      <c r="C3" s="472"/>
      <c r="D3" s="476"/>
      <c r="E3" s="477"/>
      <c r="F3" s="478"/>
      <c r="G3" s="478"/>
      <c r="H3" s="478"/>
      <c r="I3" s="478"/>
      <c r="J3" s="479"/>
      <c r="K3" s="15"/>
      <c r="L3" s="17"/>
    </row>
    <row r="4" spans="1:19" s="3" customFormat="1" ht="30" customHeight="1" thickBot="1" x14ac:dyDescent="0.25">
      <c r="A4" s="227"/>
      <c r="B4" s="471" t="s">
        <v>174</v>
      </c>
      <c r="C4" s="472"/>
      <c r="D4" s="473"/>
      <c r="E4" s="239">
        <v>34</v>
      </c>
      <c r="K4" s="15"/>
      <c r="L4" s="17"/>
    </row>
    <row r="5" spans="1:19" ht="12.75" customHeight="1" x14ac:dyDescent="0.2">
      <c r="A5" s="1">
        <f>SUM(S1,'Ответы учащихся'!AU1)</f>
        <v>1</v>
      </c>
      <c r="B5" s="61"/>
      <c r="C5" s="64"/>
      <c r="D5" s="65"/>
      <c r="E5" s="65"/>
      <c r="F5" s="65"/>
      <c r="G5" s="65"/>
      <c r="H5" s="65"/>
      <c r="I5" s="65"/>
      <c r="J5" s="65"/>
      <c r="K5" s="8"/>
      <c r="L5" s="8"/>
    </row>
    <row r="6" spans="1:19" ht="18" hidden="1" x14ac:dyDescent="0.25">
      <c r="B6" s="66">
        <v>4</v>
      </c>
      <c r="C6" s="67" t="s">
        <v>26</v>
      </c>
      <c r="D6" s="68"/>
      <c r="E6" s="68"/>
      <c r="F6" s="69"/>
      <c r="G6" s="63"/>
      <c r="H6" s="63"/>
      <c r="I6" s="63"/>
      <c r="J6" s="63"/>
      <c r="K6" s="2"/>
      <c r="L6" s="2"/>
    </row>
    <row r="7" spans="1:19" ht="15.75" x14ac:dyDescent="0.25">
      <c r="B7" s="474" t="s">
        <v>79</v>
      </c>
      <c r="C7" s="475"/>
      <c r="D7" s="475"/>
      <c r="E7" s="475"/>
      <c r="F7" s="475"/>
      <c r="G7" s="475"/>
      <c r="H7" s="475"/>
      <c r="I7" s="475"/>
      <c r="J7" s="475"/>
      <c r="K7" s="36"/>
      <c r="L7" s="36"/>
      <c r="N7" s="5"/>
    </row>
    <row r="8" spans="1:19" ht="15.75" x14ac:dyDescent="0.25">
      <c r="B8" s="70" t="s">
        <v>4</v>
      </c>
      <c r="C8" s="71" t="s">
        <v>5</v>
      </c>
      <c r="D8" s="70" t="s">
        <v>6</v>
      </c>
      <c r="E8" s="70" t="s">
        <v>7</v>
      </c>
      <c r="F8" s="72" t="s">
        <v>142</v>
      </c>
      <c r="G8" s="73" t="s">
        <v>143</v>
      </c>
      <c r="H8" s="74" t="s">
        <v>144</v>
      </c>
      <c r="I8" s="74" t="s">
        <v>21</v>
      </c>
      <c r="J8" s="132" t="s">
        <v>145</v>
      </c>
      <c r="K8" s="4"/>
      <c r="L8" s="4"/>
      <c r="N8" s="224" t="s">
        <v>17</v>
      </c>
    </row>
    <row r="9" spans="1:19" ht="12.75" customHeight="1" x14ac:dyDescent="0.2">
      <c r="B9" s="498" t="s">
        <v>2</v>
      </c>
      <c r="C9" s="480" t="s">
        <v>15</v>
      </c>
      <c r="D9" s="483" t="s">
        <v>3</v>
      </c>
      <c r="E9" s="75"/>
      <c r="F9" s="484" t="s">
        <v>11</v>
      </c>
      <c r="G9" s="487" t="s">
        <v>10</v>
      </c>
      <c r="H9" s="488"/>
      <c r="I9" s="484" t="s">
        <v>239</v>
      </c>
      <c r="J9" s="495" t="s">
        <v>25</v>
      </c>
      <c r="N9" s="224" t="s">
        <v>19</v>
      </c>
    </row>
    <row r="10" spans="1:19" ht="12.75" customHeight="1" x14ac:dyDescent="0.2">
      <c r="B10" s="498"/>
      <c r="C10" s="481"/>
      <c r="D10" s="483"/>
      <c r="E10" s="76"/>
      <c r="F10" s="485"/>
      <c r="G10" s="489"/>
      <c r="H10" s="490"/>
      <c r="I10" s="493"/>
      <c r="J10" s="496"/>
      <c r="N10" s="224" t="s">
        <v>133</v>
      </c>
    </row>
    <row r="11" spans="1:19" x14ac:dyDescent="0.2">
      <c r="B11" s="498"/>
      <c r="C11" s="481"/>
      <c r="D11" s="483"/>
      <c r="E11" s="77" t="s">
        <v>22</v>
      </c>
      <c r="F11" s="485"/>
      <c r="G11" s="489"/>
      <c r="H11" s="490"/>
      <c r="I11" s="493"/>
      <c r="J11" s="496"/>
      <c r="N11" s="224" t="s">
        <v>134</v>
      </c>
    </row>
    <row r="12" spans="1:19" ht="27" customHeight="1" x14ac:dyDescent="0.2">
      <c r="B12" s="498"/>
      <c r="C12" s="482"/>
      <c r="D12" s="483"/>
      <c r="E12" s="78"/>
      <c r="F12" s="486"/>
      <c r="G12" s="491"/>
      <c r="H12" s="492"/>
      <c r="I12" s="494"/>
      <c r="J12" s="497"/>
      <c r="N12" s="224" t="s">
        <v>135</v>
      </c>
    </row>
    <row r="13" spans="1:19" ht="27" hidden="1" customHeight="1" x14ac:dyDescent="0.2">
      <c r="B13" s="241"/>
      <c r="C13" s="242"/>
      <c r="D13" s="243"/>
      <c r="E13" s="244"/>
      <c r="F13" s="245"/>
      <c r="G13" s="246"/>
      <c r="H13" s="247"/>
      <c r="I13" s="248"/>
      <c r="J13" s="249"/>
      <c r="N13" s="224" t="s">
        <v>136</v>
      </c>
    </row>
    <row r="14" spans="1:19" ht="27" hidden="1" customHeight="1" x14ac:dyDescent="0.2">
      <c r="B14" s="241"/>
      <c r="C14" s="242"/>
      <c r="D14" s="243"/>
      <c r="E14" s="244"/>
      <c r="F14" s="245"/>
      <c r="G14" s="246"/>
      <c r="H14" s="247"/>
      <c r="I14" s="248"/>
      <c r="J14" s="249"/>
      <c r="N14" s="224" t="s">
        <v>137</v>
      </c>
    </row>
    <row r="15" spans="1:19" ht="27" hidden="1" customHeight="1" x14ac:dyDescent="0.2">
      <c r="B15" s="241"/>
      <c r="C15" s="242"/>
      <c r="D15" s="243"/>
      <c r="E15" s="244"/>
      <c r="F15" s="245"/>
      <c r="G15" s="246"/>
      <c r="H15" s="247"/>
      <c r="I15" s="248"/>
      <c r="J15" s="249"/>
      <c r="N15" s="224" t="s">
        <v>138</v>
      </c>
    </row>
    <row r="16" spans="1:19" ht="27" hidden="1" customHeight="1" x14ac:dyDescent="0.2">
      <c r="B16" s="241"/>
      <c r="C16" s="242"/>
      <c r="D16" s="243"/>
      <c r="E16" s="244"/>
      <c r="F16" s="245"/>
      <c r="G16" s="246"/>
      <c r="H16" s="247"/>
      <c r="I16" s="248"/>
      <c r="J16" s="249"/>
      <c r="N16" s="224" t="s">
        <v>139</v>
      </c>
    </row>
    <row r="17" spans="2:19" ht="27" hidden="1" customHeight="1" x14ac:dyDescent="0.2">
      <c r="B17" s="241"/>
      <c r="C17" s="242"/>
      <c r="D17" s="243"/>
      <c r="E17" s="244"/>
      <c r="F17" s="245"/>
      <c r="G17" s="246"/>
      <c r="H17" s="247"/>
      <c r="I17" s="248"/>
      <c r="J17" s="249"/>
      <c r="N17" s="224" t="s">
        <v>140</v>
      </c>
    </row>
    <row r="18" spans="2:19" ht="27" hidden="1" customHeight="1" x14ac:dyDescent="0.2">
      <c r="B18" s="241"/>
      <c r="C18" s="242"/>
      <c r="D18" s="243"/>
      <c r="E18" s="244"/>
      <c r="F18" s="245"/>
      <c r="G18" s="246"/>
      <c r="H18" s="247"/>
      <c r="I18" s="248"/>
      <c r="J18" s="249"/>
      <c r="N18" s="224" t="s">
        <v>18</v>
      </c>
    </row>
    <row r="19" spans="2:19" ht="27" hidden="1" customHeight="1" x14ac:dyDescent="0.2">
      <c r="B19" s="241"/>
      <c r="C19" s="242"/>
      <c r="D19" s="243"/>
      <c r="E19" s="244"/>
      <c r="F19" s="245"/>
      <c r="G19" s="246"/>
      <c r="H19" s="247"/>
      <c r="I19" s="248"/>
      <c r="J19" s="249"/>
      <c r="N19" s="224"/>
      <c r="S19" s="1">
        <f>SUM(S20:S59)</f>
        <v>34</v>
      </c>
    </row>
    <row r="20" spans="2:19" x14ac:dyDescent="0.2">
      <c r="B20" s="79">
        <v>1</v>
      </c>
      <c r="C20" s="80">
        <v>1</v>
      </c>
      <c r="D20" s="81"/>
      <c r="E20" s="82" t="str">
        <f t="shared" ref="E20:E59" si="0">IF(AND($H$1&lt;&gt;"",$J$1&lt;&gt;"",C20&lt;&gt;"",D20&lt;&gt;""),CONCATENATE($H$1,"-",$J$1,"-",TEXT(C20,"00")),"")</f>
        <v/>
      </c>
      <c r="F20" s="83">
        <v>1</v>
      </c>
      <c r="G20" s="84" t="s">
        <v>296</v>
      </c>
      <c r="H20" s="85" t="s">
        <v>297</v>
      </c>
      <c r="I20" s="254">
        <v>4</v>
      </c>
      <c r="J20" s="255">
        <v>4</v>
      </c>
      <c r="K20" s="14"/>
      <c r="L20" s="14"/>
      <c r="M20" s="14"/>
      <c r="S20" s="1">
        <f t="shared" ref="S20:S59" si="1">IF(ISBLANK(C20),0,(IF(COUNTA($C20:$D20)+COUNTA($F20:$J20)&lt;&gt;7,1,0)))</f>
        <v>1</v>
      </c>
    </row>
    <row r="21" spans="2:19" x14ac:dyDescent="0.2">
      <c r="B21" s="79">
        <v>2</v>
      </c>
      <c r="C21" s="80">
        <v>2</v>
      </c>
      <c r="D21" s="81"/>
      <c r="E21" s="82" t="str">
        <f>IF(AND($H$1&lt;&gt;"",$J$1&lt;&gt;"",C21&lt;&gt;"",D21&lt;&gt;""),CONCATENATE($H$1,"-",$J$1,"-",TEXT(C21,"00")),"")</f>
        <v/>
      </c>
      <c r="F21" s="83">
        <v>1</v>
      </c>
      <c r="G21" s="84" t="s">
        <v>298</v>
      </c>
      <c r="H21" s="85" t="s">
        <v>297</v>
      </c>
      <c r="I21" s="254">
        <v>4</v>
      </c>
      <c r="J21" s="255">
        <v>1</v>
      </c>
      <c r="K21" s="14"/>
      <c r="L21" s="14"/>
      <c r="M21" s="14"/>
      <c r="S21" s="1">
        <f t="shared" si="1"/>
        <v>1</v>
      </c>
    </row>
    <row r="22" spans="2:19" x14ac:dyDescent="0.2">
      <c r="B22" s="79">
        <v>3</v>
      </c>
      <c r="C22" s="80">
        <v>3</v>
      </c>
      <c r="D22" s="81"/>
      <c r="E22" s="82" t="str">
        <f t="shared" si="0"/>
        <v/>
      </c>
      <c r="F22" s="83">
        <v>1</v>
      </c>
      <c r="G22" s="84" t="s">
        <v>299</v>
      </c>
      <c r="H22" s="85" t="s">
        <v>300</v>
      </c>
      <c r="I22" s="254">
        <v>5</v>
      </c>
      <c r="J22" s="255">
        <v>1</v>
      </c>
      <c r="K22" s="14"/>
      <c r="L22" s="14"/>
      <c r="M22" s="14"/>
      <c r="S22" s="1">
        <f t="shared" si="1"/>
        <v>1</v>
      </c>
    </row>
    <row r="23" spans="2:19" x14ac:dyDescent="0.2">
      <c r="B23" s="79">
        <v>4</v>
      </c>
      <c r="C23" s="80">
        <v>4</v>
      </c>
      <c r="D23" s="81"/>
      <c r="E23" s="82" t="str">
        <f t="shared" si="0"/>
        <v/>
      </c>
      <c r="F23" s="83">
        <v>2</v>
      </c>
      <c r="G23" s="84" t="s">
        <v>298</v>
      </c>
      <c r="H23" s="85" t="s">
        <v>297</v>
      </c>
      <c r="I23" s="254">
        <v>5</v>
      </c>
      <c r="J23" s="255">
        <v>1</v>
      </c>
      <c r="K23" s="14"/>
      <c r="L23" s="14"/>
      <c r="M23" s="14"/>
      <c r="S23" s="1">
        <f t="shared" si="1"/>
        <v>1</v>
      </c>
    </row>
    <row r="24" spans="2:19" x14ac:dyDescent="0.2">
      <c r="B24" s="79">
        <v>5</v>
      </c>
      <c r="C24" s="80">
        <v>5</v>
      </c>
      <c r="D24" s="81"/>
      <c r="E24" s="82" t="str">
        <f t="shared" si="0"/>
        <v/>
      </c>
      <c r="F24" s="83">
        <v>2</v>
      </c>
      <c r="G24" s="84" t="s">
        <v>301</v>
      </c>
      <c r="H24" s="85" t="s">
        <v>297</v>
      </c>
      <c r="I24" s="254">
        <v>4</v>
      </c>
      <c r="J24" s="255">
        <v>1</v>
      </c>
      <c r="K24" s="14"/>
      <c r="L24" s="14"/>
      <c r="M24" s="14"/>
      <c r="S24" s="1">
        <f t="shared" si="1"/>
        <v>1</v>
      </c>
    </row>
    <row r="25" spans="2:19" x14ac:dyDescent="0.2">
      <c r="B25" s="79">
        <v>6</v>
      </c>
      <c r="C25" s="80">
        <v>6</v>
      </c>
      <c r="D25" s="81"/>
      <c r="E25" s="82" t="str">
        <f t="shared" si="0"/>
        <v/>
      </c>
      <c r="F25" s="83">
        <v>1</v>
      </c>
      <c r="G25" s="84" t="s">
        <v>302</v>
      </c>
      <c r="H25" s="85" t="s">
        <v>297</v>
      </c>
      <c r="I25" s="254">
        <v>4</v>
      </c>
      <c r="J25" s="255">
        <v>1</v>
      </c>
      <c r="K25" s="14"/>
      <c r="L25" s="14"/>
      <c r="M25" s="14"/>
      <c r="S25" s="1">
        <f t="shared" si="1"/>
        <v>1</v>
      </c>
    </row>
    <row r="26" spans="2:19" x14ac:dyDescent="0.2">
      <c r="B26" s="79">
        <v>7</v>
      </c>
      <c r="C26" s="80">
        <v>7</v>
      </c>
      <c r="D26" s="81"/>
      <c r="E26" s="82" t="str">
        <f t="shared" si="0"/>
        <v/>
      </c>
      <c r="F26" s="83">
        <v>1</v>
      </c>
      <c r="G26" s="84" t="s">
        <v>302</v>
      </c>
      <c r="H26" s="85" t="s">
        <v>297</v>
      </c>
      <c r="I26" s="254">
        <v>4</v>
      </c>
      <c r="J26" s="255">
        <v>2</v>
      </c>
      <c r="K26" s="14"/>
      <c r="L26" s="14"/>
      <c r="M26" s="14"/>
      <c r="S26" s="1">
        <f t="shared" si="1"/>
        <v>1</v>
      </c>
    </row>
    <row r="27" spans="2:19" x14ac:dyDescent="0.2">
      <c r="B27" s="79">
        <v>8</v>
      </c>
      <c r="C27" s="80">
        <v>8</v>
      </c>
      <c r="D27" s="81"/>
      <c r="E27" s="82" t="str">
        <f t="shared" si="0"/>
        <v/>
      </c>
      <c r="F27" s="83">
        <v>2</v>
      </c>
      <c r="G27" s="84" t="s">
        <v>303</v>
      </c>
      <c r="H27" s="85" t="s">
        <v>297</v>
      </c>
      <c r="I27" s="254">
        <v>4</v>
      </c>
      <c r="J27" s="255">
        <v>3</v>
      </c>
      <c r="K27" s="14"/>
      <c r="L27" s="14"/>
      <c r="M27" s="14"/>
      <c r="S27" s="1">
        <f t="shared" si="1"/>
        <v>1</v>
      </c>
    </row>
    <row r="28" spans="2:19" x14ac:dyDescent="0.2">
      <c r="B28" s="79">
        <v>9</v>
      </c>
      <c r="C28" s="80">
        <v>9</v>
      </c>
      <c r="D28" s="81"/>
      <c r="E28" s="82" t="str">
        <f t="shared" si="0"/>
        <v/>
      </c>
      <c r="F28" s="83">
        <v>1</v>
      </c>
      <c r="G28" s="84" t="s">
        <v>304</v>
      </c>
      <c r="H28" s="85" t="s">
        <v>297</v>
      </c>
      <c r="I28" s="254">
        <v>4</v>
      </c>
      <c r="J28" s="255">
        <v>3</v>
      </c>
      <c r="K28" s="14"/>
      <c r="L28" s="14"/>
      <c r="M28" s="14"/>
      <c r="S28" s="1">
        <f t="shared" si="1"/>
        <v>1</v>
      </c>
    </row>
    <row r="29" spans="2:19" x14ac:dyDescent="0.2">
      <c r="B29" s="79">
        <v>10</v>
      </c>
      <c r="C29" s="80">
        <v>10</v>
      </c>
      <c r="D29" s="81"/>
      <c r="E29" s="82" t="str">
        <f t="shared" si="0"/>
        <v/>
      </c>
      <c r="F29" s="83">
        <v>1</v>
      </c>
      <c r="G29" s="84" t="s">
        <v>305</v>
      </c>
      <c r="H29" s="85" t="s">
        <v>300</v>
      </c>
      <c r="I29" s="254">
        <v>3</v>
      </c>
      <c r="J29" s="255">
        <v>2</v>
      </c>
      <c r="K29" s="14"/>
      <c r="L29" s="14"/>
      <c r="M29" s="14"/>
      <c r="S29" s="1">
        <f t="shared" si="1"/>
        <v>1</v>
      </c>
    </row>
    <row r="30" spans="2:19" x14ac:dyDescent="0.2">
      <c r="B30" s="79">
        <v>11</v>
      </c>
      <c r="C30" s="80">
        <v>11</v>
      </c>
      <c r="D30" s="81"/>
      <c r="E30" s="82" t="str">
        <f t="shared" si="0"/>
        <v/>
      </c>
      <c r="F30" s="83">
        <v>2</v>
      </c>
      <c r="G30" s="84" t="s">
        <v>303</v>
      </c>
      <c r="H30" s="85" t="s">
        <v>297</v>
      </c>
      <c r="I30" s="254">
        <v>4</v>
      </c>
      <c r="J30" s="255">
        <v>3</v>
      </c>
      <c r="K30" s="14"/>
      <c r="L30" s="14"/>
      <c r="M30" s="14"/>
      <c r="S30" s="1">
        <f t="shared" si="1"/>
        <v>1</v>
      </c>
    </row>
    <row r="31" spans="2:19" x14ac:dyDescent="0.2">
      <c r="B31" s="79">
        <v>12</v>
      </c>
      <c r="C31" s="80">
        <v>12</v>
      </c>
      <c r="D31" s="81"/>
      <c r="E31" s="82" t="str">
        <f t="shared" si="0"/>
        <v/>
      </c>
      <c r="F31" s="83">
        <v>1</v>
      </c>
      <c r="G31" s="84" t="s">
        <v>305</v>
      </c>
      <c r="H31" s="85" t="s">
        <v>300</v>
      </c>
      <c r="I31" s="254">
        <v>4</v>
      </c>
      <c r="J31" s="255">
        <v>4</v>
      </c>
      <c r="K31" s="14"/>
      <c r="L31" s="14"/>
      <c r="M31" s="14"/>
      <c r="S31" s="1">
        <f t="shared" si="1"/>
        <v>1</v>
      </c>
    </row>
    <row r="32" spans="2:19" x14ac:dyDescent="0.2">
      <c r="B32" s="79">
        <v>13</v>
      </c>
      <c r="C32" s="80">
        <v>13</v>
      </c>
      <c r="D32" s="81"/>
      <c r="E32" s="82" t="str">
        <f t="shared" si="0"/>
        <v/>
      </c>
      <c r="F32" s="83">
        <v>1</v>
      </c>
      <c r="G32" s="84" t="s">
        <v>306</v>
      </c>
      <c r="H32" s="85" t="s">
        <v>300</v>
      </c>
      <c r="I32" s="254">
        <v>4</v>
      </c>
      <c r="J32" s="255">
        <v>2</v>
      </c>
      <c r="K32" s="14"/>
      <c r="L32" s="14"/>
      <c r="M32" s="14"/>
      <c r="S32" s="1">
        <f t="shared" si="1"/>
        <v>1</v>
      </c>
    </row>
    <row r="33" spans="2:19" x14ac:dyDescent="0.2">
      <c r="B33" s="79">
        <v>14</v>
      </c>
      <c r="C33" s="80">
        <v>14</v>
      </c>
      <c r="D33" s="81"/>
      <c r="E33" s="82" t="str">
        <f t="shared" si="0"/>
        <v/>
      </c>
      <c r="F33" s="83">
        <v>1</v>
      </c>
      <c r="G33" s="84" t="s">
        <v>307</v>
      </c>
      <c r="H33" s="85" t="s">
        <v>297</v>
      </c>
      <c r="I33" s="254">
        <v>4</v>
      </c>
      <c r="J33" s="255">
        <v>4</v>
      </c>
      <c r="K33" s="14"/>
      <c r="L33" s="14"/>
      <c r="M33" s="14"/>
      <c r="S33" s="1">
        <f t="shared" si="1"/>
        <v>1</v>
      </c>
    </row>
    <row r="34" spans="2:19" x14ac:dyDescent="0.2">
      <c r="B34" s="79">
        <v>15</v>
      </c>
      <c r="C34" s="80">
        <v>15</v>
      </c>
      <c r="D34" s="81"/>
      <c r="E34" s="82" t="str">
        <f t="shared" si="0"/>
        <v/>
      </c>
      <c r="F34" s="83">
        <v>1</v>
      </c>
      <c r="G34" s="84" t="s">
        <v>302</v>
      </c>
      <c r="H34" s="85" t="s">
        <v>297</v>
      </c>
      <c r="I34" s="254">
        <v>5</v>
      </c>
      <c r="J34" s="255">
        <v>2</v>
      </c>
      <c r="K34" s="14"/>
      <c r="L34" s="14"/>
      <c r="M34" s="14"/>
      <c r="S34" s="1">
        <f t="shared" si="1"/>
        <v>1</v>
      </c>
    </row>
    <row r="35" spans="2:19" x14ac:dyDescent="0.2">
      <c r="B35" s="79">
        <v>16</v>
      </c>
      <c r="C35" s="80">
        <v>16</v>
      </c>
      <c r="D35" s="81"/>
      <c r="E35" s="82" t="str">
        <f t="shared" si="0"/>
        <v/>
      </c>
      <c r="F35" s="83">
        <v>2</v>
      </c>
      <c r="G35" s="84" t="s">
        <v>298</v>
      </c>
      <c r="H35" s="85" t="s">
        <v>297</v>
      </c>
      <c r="I35" s="254">
        <v>4</v>
      </c>
      <c r="J35" s="255">
        <v>3</v>
      </c>
      <c r="K35" s="14"/>
      <c r="L35" s="14"/>
      <c r="M35" s="14"/>
      <c r="S35" s="1">
        <f t="shared" si="1"/>
        <v>1</v>
      </c>
    </row>
    <row r="36" spans="2:19" x14ac:dyDescent="0.2">
      <c r="B36" s="79">
        <v>17</v>
      </c>
      <c r="C36" s="80">
        <v>17</v>
      </c>
      <c r="D36" s="81"/>
      <c r="E36" s="82" t="str">
        <f t="shared" si="0"/>
        <v/>
      </c>
      <c r="F36" s="83">
        <v>2</v>
      </c>
      <c r="G36" s="84" t="s">
        <v>304</v>
      </c>
      <c r="H36" s="85" t="s">
        <v>297</v>
      </c>
      <c r="I36" s="254">
        <v>3</v>
      </c>
      <c r="J36" s="255">
        <v>3</v>
      </c>
      <c r="K36" s="14"/>
      <c r="L36" s="14"/>
      <c r="M36" s="14"/>
      <c r="S36" s="1">
        <f t="shared" si="1"/>
        <v>1</v>
      </c>
    </row>
    <row r="37" spans="2:19" x14ac:dyDescent="0.2">
      <c r="B37" s="79">
        <v>18</v>
      </c>
      <c r="C37" s="80">
        <v>18</v>
      </c>
      <c r="D37" s="81"/>
      <c r="E37" s="82" t="str">
        <f t="shared" si="0"/>
        <v/>
      </c>
      <c r="F37" s="83">
        <v>1</v>
      </c>
      <c r="G37" s="84" t="s">
        <v>307</v>
      </c>
      <c r="H37" s="85" t="s">
        <v>297</v>
      </c>
      <c r="I37" s="254">
        <v>3</v>
      </c>
      <c r="J37" s="255">
        <v>3</v>
      </c>
      <c r="K37" s="14"/>
      <c r="L37" s="14"/>
      <c r="M37" s="14"/>
      <c r="S37" s="1">
        <f t="shared" si="1"/>
        <v>1</v>
      </c>
    </row>
    <row r="38" spans="2:19" x14ac:dyDescent="0.2">
      <c r="B38" s="79">
        <v>19</v>
      </c>
      <c r="C38" s="80">
        <v>19</v>
      </c>
      <c r="D38" s="81"/>
      <c r="E38" s="82" t="str">
        <f t="shared" si="0"/>
        <v/>
      </c>
      <c r="F38" s="83">
        <v>2</v>
      </c>
      <c r="G38" s="84" t="s">
        <v>306</v>
      </c>
      <c r="H38" s="85" t="s">
        <v>297</v>
      </c>
      <c r="I38" s="254">
        <v>4</v>
      </c>
      <c r="J38" s="255">
        <v>2</v>
      </c>
      <c r="K38" s="14"/>
      <c r="L38" s="14"/>
      <c r="M38" s="14"/>
      <c r="S38" s="1">
        <f t="shared" si="1"/>
        <v>1</v>
      </c>
    </row>
    <row r="39" spans="2:19" x14ac:dyDescent="0.2">
      <c r="B39" s="79">
        <v>20</v>
      </c>
      <c r="C39" s="80">
        <v>20</v>
      </c>
      <c r="D39" s="81"/>
      <c r="E39" s="82" t="str">
        <f t="shared" si="0"/>
        <v/>
      </c>
      <c r="F39" s="83">
        <v>1</v>
      </c>
      <c r="G39" s="84" t="s">
        <v>301</v>
      </c>
      <c r="H39" s="85" t="s">
        <v>297</v>
      </c>
      <c r="I39" s="254">
        <v>4</v>
      </c>
      <c r="J39" s="255">
        <v>2</v>
      </c>
      <c r="K39" s="14"/>
      <c r="L39" s="14"/>
      <c r="M39" s="14"/>
      <c r="S39" s="1">
        <f t="shared" si="1"/>
        <v>1</v>
      </c>
    </row>
    <row r="40" spans="2:19" x14ac:dyDescent="0.2">
      <c r="B40" s="79">
        <v>21</v>
      </c>
      <c r="C40" s="80">
        <v>21</v>
      </c>
      <c r="D40" s="81"/>
      <c r="E40" s="82" t="str">
        <f t="shared" si="0"/>
        <v/>
      </c>
      <c r="F40" s="83">
        <v>2</v>
      </c>
      <c r="G40" s="84" t="s">
        <v>308</v>
      </c>
      <c r="H40" s="85" t="s">
        <v>297</v>
      </c>
      <c r="I40" s="254">
        <v>4</v>
      </c>
      <c r="J40" s="255">
        <v>2</v>
      </c>
      <c r="K40" s="14"/>
      <c r="L40" s="14"/>
      <c r="M40" s="14"/>
      <c r="S40" s="1">
        <f t="shared" si="1"/>
        <v>1</v>
      </c>
    </row>
    <row r="41" spans="2:19" x14ac:dyDescent="0.2">
      <c r="B41" s="79">
        <v>22</v>
      </c>
      <c r="C41" s="80">
        <v>22</v>
      </c>
      <c r="D41" s="81"/>
      <c r="E41" s="82" t="str">
        <f t="shared" si="0"/>
        <v/>
      </c>
      <c r="F41" s="83">
        <v>2</v>
      </c>
      <c r="G41" s="84" t="s">
        <v>306</v>
      </c>
      <c r="H41" s="85" t="s">
        <v>297</v>
      </c>
      <c r="I41" s="254">
        <v>3</v>
      </c>
      <c r="J41" s="255">
        <v>4</v>
      </c>
      <c r="K41" s="14"/>
      <c r="L41" s="14"/>
      <c r="M41" s="14"/>
      <c r="S41" s="1">
        <f t="shared" si="1"/>
        <v>1</v>
      </c>
    </row>
    <row r="42" spans="2:19" x14ac:dyDescent="0.2">
      <c r="B42" s="79">
        <v>23</v>
      </c>
      <c r="C42" s="86">
        <v>23</v>
      </c>
      <c r="D42" s="81"/>
      <c r="E42" s="82" t="str">
        <f t="shared" si="0"/>
        <v/>
      </c>
      <c r="F42" s="83">
        <v>2</v>
      </c>
      <c r="G42" s="84" t="s">
        <v>306</v>
      </c>
      <c r="H42" s="85" t="s">
        <v>300</v>
      </c>
      <c r="I42" s="254">
        <v>4</v>
      </c>
      <c r="J42" s="255">
        <v>1</v>
      </c>
      <c r="K42" s="14"/>
      <c r="L42" s="14"/>
      <c r="M42" s="14"/>
      <c r="S42" s="1">
        <f t="shared" si="1"/>
        <v>1</v>
      </c>
    </row>
    <row r="43" spans="2:19" x14ac:dyDescent="0.2">
      <c r="B43" s="79">
        <v>24</v>
      </c>
      <c r="C43" s="86">
        <v>24</v>
      </c>
      <c r="D43" s="81"/>
      <c r="E43" s="82" t="str">
        <f t="shared" si="0"/>
        <v/>
      </c>
      <c r="F43" s="83">
        <v>1</v>
      </c>
      <c r="G43" s="84" t="s">
        <v>306</v>
      </c>
      <c r="H43" s="85" t="s">
        <v>297</v>
      </c>
      <c r="I43" s="254">
        <v>3</v>
      </c>
      <c r="J43" s="255">
        <v>4</v>
      </c>
      <c r="K43" s="14"/>
      <c r="L43" s="14"/>
      <c r="M43" s="14"/>
      <c r="S43" s="1">
        <f t="shared" si="1"/>
        <v>1</v>
      </c>
    </row>
    <row r="44" spans="2:19" x14ac:dyDescent="0.2">
      <c r="B44" s="79">
        <v>25</v>
      </c>
      <c r="C44" s="86">
        <v>25</v>
      </c>
      <c r="D44" s="81"/>
      <c r="E44" s="82" t="str">
        <f t="shared" si="0"/>
        <v/>
      </c>
      <c r="F44" s="83">
        <v>1</v>
      </c>
      <c r="G44" s="84" t="s">
        <v>303</v>
      </c>
      <c r="H44" s="85" t="s">
        <v>297</v>
      </c>
      <c r="I44" s="254">
        <v>4</v>
      </c>
      <c r="J44" s="255">
        <v>4</v>
      </c>
      <c r="K44" s="14"/>
      <c r="L44" s="14"/>
      <c r="M44" s="14"/>
      <c r="S44" s="1">
        <f t="shared" si="1"/>
        <v>1</v>
      </c>
    </row>
    <row r="45" spans="2:19" x14ac:dyDescent="0.2">
      <c r="B45" s="79">
        <v>26</v>
      </c>
      <c r="C45" s="86">
        <v>26</v>
      </c>
      <c r="D45" s="81"/>
      <c r="E45" s="82" t="str">
        <f t="shared" si="0"/>
        <v/>
      </c>
      <c r="F45" s="83">
        <v>1</v>
      </c>
      <c r="G45" s="84" t="s">
        <v>302</v>
      </c>
      <c r="H45" s="85" t="s">
        <v>297</v>
      </c>
      <c r="I45" s="254">
        <v>4</v>
      </c>
      <c r="J45" s="255">
        <v>3</v>
      </c>
      <c r="K45" s="14"/>
      <c r="L45" s="14"/>
      <c r="M45" s="14"/>
      <c r="S45" s="1">
        <f t="shared" si="1"/>
        <v>1</v>
      </c>
    </row>
    <row r="46" spans="2:19" x14ac:dyDescent="0.2">
      <c r="B46" s="79">
        <v>27</v>
      </c>
      <c r="C46" s="86">
        <v>27</v>
      </c>
      <c r="D46" s="81"/>
      <c r="E46" s="82" t="str">
        <f t="shared" si="0"/>
        <v/>
      </c>
      <c r="F46" s="83">
        <v>1</v>
      </c>
      <c r="G46" s="84" t="s">
        <v>306</v>
      </c>
      <c r="H46" s="85" t="s">
        <v>297</v>
      </c>
      <c r="I46" s="254">
        <v>4</v>
      </c>
      <c r="J46" s="255">
        <v>2</v>
      </c>
      <c r="K46" s="14"/>
      <c r="L46" s="14"/>
      <c r="M46" s="14"/>
      <c r="S46" s="1">
        <f t="shared" si="1"/>
        <v>1</v>
      </c>
    </row>
    <row r="47" spans="2:19" x14ac:dyDescent="0.2">
      <c r="B47" s="79">
        <v>28</v>
      </c>
      <c r="C47" s="86">
        <v>28</v>
      </c>
      <c r="D47" s="81"/>
      <c r="E47" s="82" t="str">
        <f t="shared" si="0"/>
        <v/>
      </c>
      <c r="F47" s="83">
        <v>1</v>
      </c>
      <c r="G47" s="84" t="s">
        <v>305</v>
      </c>
      <c r="H47" s="85" t="s">
        <v>297</v>
      </c>
      <c r="I47" s="254">
        <v>4</v>
      </c>
      <c r="J47" s="255">
        <v>1</v>
      </c>
      <c r="K47" s="14"/>
      <c r="L47" s="14"/>
      <c r="M47" s="14"/>
      <c r="S47" s="1">
        <f t="shared" si="1"/>
        <v>1</v>
      </c>
    </row>
    <row r="48" spans="2:19" x14ac:dyDescent="0.2">
      <c r="B48" s="79">
        <v>29</v>
      </c>
      <c r="C48" s="86">
        <v>29</v>
      </c>
      <c r="D48" s="81"/>
      <c r="E48" s="82" t="str">
        <f t="shared" si="0"/>
        <v/>
      </c>
      <c r="F48" s="83">
        <v>1</v>
      </c>
      <c r="G48" s="84" t="s">
        <v>301</v>
      </c>
      <c r="H48" s="85" t="s">
        <v>297</v>
      </c>
      <c r="I48" s="254">
        <v>4</v>
      </c>
      <c r="J48" s="255">
        <v>3</v>
      </c>
      <c r="K48" s="14"/>
      <c r="L48" s="14"/>
      <c r="M48" s="14"/>
      <c r="S48" s="1">
        <f t="shared" si="1"/>
        <v>1</v>
      </c>
    </row>
    <row r="49" spans="2:19" x14ac:dyDescent="0.2">
      <c r="B49" s="79">
        <v>30</v>
      </c>
      <c r="C49" s="86">
        <v>30</v>
      </c>
      <c r="D49" s="81"/>
      <c r="E49" s="82" t="str">
        <f t="shared" si="0"/>
        <v/>
      </c>
      <c r="F49" s="83">
        <v>1</v>
      </c>
      <c r="G49" s="84" t="s">
        <v>306</v>
      </c>
      <c r="H49" s="85" t="s">
        <v>300</v>
      </c>
      <c r="I49" s="254">
        <v>3</v>
      </c>
      <c r="J49" s="255">
        <v>4</v>
      </c>
      <c r="K49" s="14"/>
      <c r="L49" s="14"/>
      <c r="M49" s="14"/>
      <c r="S49" s="1">
        <f t="shared" si="1"/>
        <v>1</v>
      </c>
    </row>
    <row r="50" spans="2:19" x14ac:dyDescent="0.2">
      <c r="B50" s="79">
        <v>31</v>
      </c>
      <c r="C50" s="86">
        <v>31</v>
      </c>
      <c r="D50" s="81"/>
      <c r="E50" s="82" t="str">
        <f t="shared" si="0"/>
        <v/>
      </c>
      <c r="F50" s="83">
        <v>1</v>
      </c>
      <c r="G50" s="84" t="s">
        <v>299</v>
      </c>
      <c r="H50" s="85" t="s">
        <v>297</v>
      </c>
      <c r="I50" s="254">
        <v>5</v>
      </c>
      <c r="J50" s="255">
        <v>1</v>
      </c>
      <c r="K50" s="14"/>
      <c r="L50" s="14"/>
      <c r="M50" s="14"/>
      <c r="S50" s="1">
        <f t="shared" si="1"/>
        <v>1</v>
      </c>
    </row>
    <row r="51" spans="2:19" x14ac:dyDescent="0.2">
      <c r="B51" s="79">
        <v>32</v>
      </c>
      <c r="C51" s="86">
        <v>32</v>
      </c>
      <c r="D51" s="81"/>
      <c r="E51" s="82" t="str">
        <f t="shared" si="0"/>
        <v/>
      </c>
      <c r="F51" s="83">
        <v>2</v>
      </c>
      <c r="G51" s="84" t="s">
        <v>304</v>
      </c>
      <c r="H51" s="85" t="s">
        <v>297</v>
      </c>
      <c r="I51" s="254">
        <v>4</v>
      </c>
      <c r="J51" s="255">
        <v>3</v>
      </c>
      <c r="K51" s="14"/>
      <c r="L51" s="14"/>
      <c r="M51" s="14"/>
      <c r="S51" s="1">
        <f t="shared" si="1"/>
        <v>1</v>
      </c>
    </row>
    <row r="52" spans="2:19" x14ac:dyDescent="0.2">
      <c r="B52" s="79">
        <v>33</v>
      </c>
      <c r="C52" s="86">
        <v>33</v>
      </c>
      <c r="D52" s="81"/>
      <c r="E52" s="82" t="str">
        <f t="shared" si="0"/>
        <v/>
      </c>
      <c r="F52" s="83">
        <v>2</v>
      </c>
      <c r="G52" s="84" t="s">
        <v>303</v>
      </c>
      <c r="H52" s="85" t="s">
        <v>297</v>
      </c>
      <c r="I52" s="254">
        <v>4</v>
      </c>
      <c r="J52" s="255">
        <v>4</v>
      </c>
      <c r="K52" s="14"/>
      <c r="L52" s="14"/>
      <c r="M52" s="14"/>
      <c r="S52" s="1">
        <f t="shared" si="1"/>
        <v>1</v>
      </c>
    </row>
    <row r="53" spans="2:19" x14ac:dyDescent="0.2">
      <c r="B53" s="79">
        <v>34</v>
      </c>
      <c r="C53" s="86">
        <v>34</v>
      </c>
      <c r="D53" s="81"/>
      <c r="E53" s="82" t="str">
        <f t="shared" si="0"/>
        <v/>
      </c>
      <c r="F53" s="83">
        <v>2</v>
      </c>
      <c r="G53" s="84" t="s">
        <v>304</v>
      </c>
      <c r="H53" s="85" t="s">
        <v>297</v>
      </c>
      <c r="I53" s="254">
        <v>3</v>
      </c>
      <c r="J53" s="255">
        <v>1</v>
      </c>
      <c r="K53" s="14"/>
      <c r="L53" s="14"/>
      <c r="M53" s="14"/>
      <c r="S53" s="1">
        <f t="shared" si="1"/>
        <v>1</v>
      </c>
    </row>
    <row r="54" spans="2:19" x14ac:dyDescent="0.2">
      <c r="B54" s="79">
        <v>35</v>
      </c>
      <c r="C54" s="86"/>
      <c r="D54" s="81"/>
      <c r="E54" s="82" t="str">
        <f t="shared" si="0"/>
        <v/>
      </c>
      <c r="F54" s="83"/>
      <c r="G54" s="84"/>
      <c r="H54" s="85"/>
      <c r="I54" s="254"/>
      <c r="J54" s="255"/>
      <c r="K54" s="14"/>
      <c r="L54" s="14"/>
      <c r="M54" s="14"/>
      <c r="S54" s="1">
        <f t="shared" si="1"/>
        <v>0</v>
      </c>
    </row>
    <row r="55" spans="2:19" x14ac:dyDescent="0.2">
      <c r="B55" s="79">
        <v>36</v>
      </c>
      <c r="C55" s="86"/>
      <c r="D55" s="81"/>
      <c r="E55" s="82" t="str">
        <f t="shared" si="0"/>
        <v/>
      </c>
      <c r="F55" s="83"/>
      <c r="G55" s="84"/>
      <c r="H55" s="85"/>
      <c r="I55" s="254"/>
      <c r="J55" s="255"/>
      <c r="K55" s="14"/>
      <c r="L55" s="14"/>
      <c r="M55" s="14"/>
      <c r="S55" s="1">
        <f t="shared" si="1"/>
        <v>0</v>
      </c>
    </row>
    <row r="56" spans="2:19" x14ac:dyDescent="0.2">
      <c r="B56" s="79">
        <v>37</v>
      </c>
      <c r="C56" s="86"/>
      <c r="D56" s="81"/>
      <c r="E56" s="82" t="str">
        <f t="shared" si="0"/>
        <v/>
      </c>
      <c r="F56" s="83"/>
      <c r="G56" s="84"/>
      <c r="H56" s="85"/>
      <c r="I56" s="254"/>
      <c r="J56" s="255"/>
      <c r="K56" s="14"/>
      <c r="L56" s="14"/>
      <c r="M56" s="14"/>
      <c r="S56" s="1">
        <f t="shared" si="1"/>
        <v>0</v>
      </c>
    </row>
    <row r="57" spans="2:19" x14ac:dyDescent="0.2">
      <c r="B57" s="79">
        <v>38</v>
      </c>
      <c r="C57" s="86"/>
      <c r="D57" s="81"/>
      <c r="E57" s="82" t="str">
        <f t="shared" si="0"/>
        <v/>
      </c>
      <c r="F57" s="83"/>
      <c r="G57" s="84"/>
      <c r="H57" s="85"/>
      <c r="I57" s="254"/>
      <c r="J57" s="255"/>
      <c r="K57" s="14"/>
      <c r="L57" s="14"/>
      <c r="M57" s="14"/>
      <c r="S57" s="1">
        <f t="shared" si="1"/>
        <v>0</v>
      </c>
    </row>
    <row r="58" spans="2:19" x14ac:dyDescent="0.2">
      <c r="B58" s="79">
        <v>39</v>
      </c>
      <c r="C58" s="86"/>
      <c r="D58" s="81"/>
      <c r="E58" s="82" t="str">
        <f t="shared" si="0"/>
        <v/>
      </c>
      <c r="F58" s="83"/>
      <c r="G58" s="84"/>
      <c r="H58" s="85"/>
      <c r="I58" s="254"/>
      <c r="J58" s="255"/>
      <c r="K58" s="14"/>
      <c r="L58" s="14"/>
      <c r="M58" s="14"/>
      <c r="S58" s="1">
        <f t="shared" si="1"/>
        <v>0</v>
      </c>
    </row>
    <row r="59" spans="2:19" x14ac:dyDescent="0.2">
      <c r="B59" s="79">
        <v>40</v>
      </c>
      <c r="C59" s="86"/>
      <c r="D59" s="81"/>
      <c r="E59" s="82" t="str">
        <f t="shared" si="0"/>
        <v/>
      </c>
      <c r="F59" s="83"/>
      <c r="G59" s="84"/>
      <c r="H59" s="85"/>
      <c r="I59" s="254"/>
      <c r="J59" s="255"/>
      <c r="K59" s="14"/>
      <c r="L59" s="14"/>
      <c r="M59" s="14"/>
      <c r="S59" s="1">
        <f t="shared" si="1"/>
        <v>0</v>
      </c>
    </row>
    <row r="60" spans="2:19" x14ac:dyDescent="0.2">
      <c r="N60" s="5"/>
    </row>
    <row r="61" spans="2:19" ht="15.75" x14ac:dyDescent="0.25">
      <c r="B61" s="9"/>
      <c r="N61" s="5"/>
    </row>
    <row r="62" spans="2:19" x14ac:dyDescent="0.2">
      <c r="N62" s="5"/>
    </row>
    <row r="63" spans="2:19" x14ac:dyDescent="0.2">
      <c r="N63" s="5"/>
    </row>
    <row r="64" spans="2:19" x14ac:dyDescent="0.2">
      <c r="N64" s="5"/>
    </row>
    <row r="65" spans="14:14" x14ac:dyDescent="0.2">
      <c r="N65" s="5"/>
    </row>
    <row r="66" spans="14:14" x14ac:dyDescent="0.2">
      <c r="N66" s="5"/>
    </row>
    <row r="67" spans="14:14" x14ac:dyDescent="0.2">
      <c r="N67" s="5"/>
    </row>
    <row r="68" spans="14:14" x14ac:dyDescent="0.2">
      <c r="N68" s="5"/>
    </row>
    <row r="69" spans="14:14" x14ac:dyDescent="0.2">
      <c r="N69" s="5"/>
    </row>
    <row r="70" spans="14:14" x14ac:dyDescent="0.2">
      <c r="N70" s="5"/>
    </row>
    <row r="71" spans="14:14" x14ac:dyDescent="0.2">
      <c r="N71" s="5"/>
    </row>
    <row r="72" spans="14:14" x14ac:dyDescent="0.2">
      <c r="N72" s="5"/>
    </row>
    <row r="73" spans="14:14" x14ac:dyDescent="0.2">
      <c r="N73" s="5"/>
    </row>
    <row r="74" spans="14:14" x14ac:dyDescent="0.2">
      <c r="N74" s="5"/>
    </row>
    <row r="75" spans="14:14" x14ac:dyDescent="0.2">
      <c r="N75" s="5"/>
    </row>
    <row r="76" spans="14:14" x14ac:dyDescent="0.2">
      <c r="N76" s="5"/>
    </row>
    <row r="77" spans="14:14" x14ac:dyDescent="0.2">
      <c r="N77" s="5"/>
    </row>
    <row r="78" spans="14:14" x14ac:dyDescent="0.2">
      <c r="N78" s="5"/>
    </row>
    <row r="79" spans="14:14" x14ac:dyDescent="0.2">
      <c r="N79" s="5"/>
    </row>
    <row r="80" spans="14:14" x14ac:dyDescent="0.2">
      <c r="N80" s="5"/>
    </row>
    <row r="81" spans="14:14" x14ac:dyDescent="0.2">
      <c r="N81" s="5"/>
    </row>
    <row r="82" spans="14:14" x14ac:dyDescent="0.2">
      <c r="N82" s="5"/>
    </row>
    <row r="83" spans="14:14" x14ac:dyDescent="0.2">
      <c r="N83" s="5"/>
    </row>
    <row r="84" spans="14:14" x14ac:dyDescent="0.2">
      <c r="N84" s="5"/>
    </row>
    <row r="85" spans="14:14" x14ac:dyDescent="0.2">
      <c r="N85" s="5"/>
    </row>
    <row r="86" spans="14:14" x14ac:dyDescent="0.2">
      <c r="N86" s="5"/>
    </row>
    <row r="87" spans="14:14" x14ac:dyDescent="0.2">
      <c r="N87" s="5"/>
    </row>
    <row r="88" spans="14:14" x14ac:dyDescent="0.2">
      <c r="N88" s="5"/>
    </row>
    <row r="89" spans="14:14" x14ac:dyDescent="0.2">
      <c r="N89" s="5"/>
    </row>
    <row r="90" spans="14:14" x14ac:dyDescent="0.2">
      <c r="N90" s="5"/>
    </row>
    <row r="91" spans="14:14" x14ac:dyDescent="0.2">
      <c r="N91" s="5"/>
    </row>
    <row r="92" spans="14:14" x14ac:dyDescent="0.2">
      <c r="N92" s="5"/>
    </row>
    <row r="93" spans="14:14" x14ac:dyDescent="0.2">
      <c r="N93" s="5"/>
    </row>
    <row r="94" spans="14:14" x14ac:dyDescent="0.2">
      <c r="N94" s="5"/>
    </row>
    <row r="95" spans="14:14" x14ac:dyDescent="0.2">
      <c r="N95" s="5"/>
    </row>
    <row r="96" spans="14:14" x14ac:dyDescent="0.2">
      <c r="N96" s="5"/>
    </row>
    <row r="97" spans="14:14" x14ac:dyDescent="0.2">
      <c r="N97" s="5"/>
    </row>
    <row r="98" spans="14:14" x14ac:dyDescent="0.2">
      <c r="N98" s="5"/>
    </row>
    <row r="99" spans="14:14" x14ac:dyDescent="0.2">
      <c r="N99" s="5"/>
    </row>
    <row r="100" spans="14:14" x14ac:dyDescent="0.2">
      <c r="N100" s="5"/>
    </row>
    <row r="101" spans="14:14" x14ac:dyDescent="0.2">
      <c r="N101" s="5"/>
    </row>
    <row r="102" spans="14:14" x14ac:dyDescent="0.2">
      <c r="N102" s="5"/>
    </row>
    <row r="103" spans="14:14" x14ac:dyDescent="0.2">
      <c r="N103" s="5"/>
    </row>
    <row r="104" spans="14:14" x14ac:dyDescent="0.2">
      <c r="N104" s="5"/>
    </row>
    <row r="105" spans="14:14" x14ac:dyDescent="0.2">
      <c r="N105" s="5"/>
    </row>
    <row r="106" spans="14:14" x14ac:dyDescent="0.2">
      <c r="N106" s="5"/>
    </row>
    <row r="107" spans="14:14" x14ac:dyDescent="0.2">
      <c r="N107" s="5"/>
    </row>
    <row r="108" spans="14:14" x14ac:dyDescent="0.2">
      <c r="N108" s="5"/>
    </row>
    <row r="109" spans="14:14" x14ac:dyDescent="0.2">
      <c r="N109" s="5"/>
    </row>
    <row r="110" spans="14:14" x14ac:dyDescent="0.2">
      <c r="N110" s="5"/>
    </row>
    <row r="111" spans="14:14" x14ac:dyDescent="0.2">
      <c r="N111" s="5"/>
    </row>
    <row r="112" spans="14:14" x14ac:dyDescent="0.2">
      <c r="N112" s="5"/>
    </row>
    <row r="113" spans="14:14" x14ac:dyDescent="0.2">
      <c r="N113" s="5"/>
    </row>
    <row r="114" spans="14:14" x14ac:dyDescent="0.2">
      <c r="N114" s="5"/>
    </row>
  </sheetData>
  <sheetProtection password="C62D" sheet="1" objects="1" scenarios="1" selectLockedCells="1"/>
  <protectedRanges>
    <protectedRange sqref="E3:E4" name="Диапазон3"/>
    <protectedRange sqref="J1" name="Диапазон2"/>
    <protectedRange sqref="H1" name="Диапазон1"/>
    <protectedRange sqref="C20:D59" name="Диапазон4"/>
    <protectedRange sqref="F20:J59" name="Диапазон5"/>
  </protectedRanges>
  <customSheetViews>
    <customSheetView guid="{BFE542F4-8A0C-4C42-A5CA-C7B0ACF2717E}" scale="110" hiddenRows="1" hiddenColumns="1">
      <selection activeCell="AA6" sqref="AA6"/>
      <pageMargins left="0.42708333333333331" right="0.23958333333333334" top="0.84375" bottom="0.98425196850393704" header="0.51181102362204722" footer="0.51181102362204722"/>
      <pageSetup paperSize="9" scale="75" fitToWidth="0" fitToHeight="0" orientation="portrait" r:id="rId1"/>
      <headerFooter alignWithMargins="0">
        <oddHeader>&amp;CКГБУ "Региональный центр оценки качества образования"</oddHeader>
      </headerFooter>
    </customSheetView>
  </customSheetViews>
  <mergeCells count="11">
    <mergeCell ref="B4:D4"/>
    <mergeCell ref="B7:J7"/>
    <mergeCell ref="B3:D3"/>
    <mergeCell ref="E3:J3"/>
    <mergeCell ref="C9:C12"/>
    <mergeCell ref="D9:D12"/>
    <mergeCell ref="F9:F12"/>
    <mergeCell ref="G9:H12"/>
    <mergeCell ref="I9:I12"/>
    <mergeCell ref="J9:J12"/>
    <mergeCell ref="B9:B12"/>
  </mergeCells>
  <phoneticPr fontId="0" type="noConversion"/>
  <conditionalFormatting sqref="H1 J1 E3:J3 E4">
    <cfRule type="expression" dxfId="14" priority="10" stopIfTrue="1">
      <formula>ISBLANK(E1)</formula>
    </cfRule>
  </conditionalFormatting>
  <conditionalFormatting sqref="C54:D59 F54:J59 J20:J53">
    <cfRule type="expression" dxfId="13" priority="12" stopIfTrue="1">
      <formula>AND(OR(COUNTA($C20:$D20)&lt;&gt;0,COUNTA($F20:$K20)&lt;&gt;0),ISBLANK(C20))</formula>
    </cfRule>
  </conditionalFormatting>
  <conditionalFormatting sqref="B20:B59">
    <cfRule type="expression" dxfId="12" priority="4" stopIfTrue="1">
      <formula>C20&lt;&gt;""</formula>
    </cfRule>
    <cfRule type="expression" dxfId="11" priority="5" stopIfTrue="1">
      <formula>B20&lt;=$E$4</formula>
    </cfRule>
  </conditionalFormatting>
  <conditionalFormatting sqref="C20:C53">
    <cfRule type="expression" dxfId="10" priority="3" stopIfTrue="1">
      <formula>AND(OR(COUNTA($C20:$D20)&lt;&gt;0,COUNTA($F20:$K20)&lt;&gt;0),ISBLANK(C20))</formula>
    </cfRule>
  </conditionalFormatting>
  <conditionalFormatting sqref="D20:D53">
    <cfRule type="expression" dxfId="9" priority="2" stopIfTrue="1">
      <formula>AND(OR(COUNTA($C20:$D20)&lt;&gt;0,COUNTA($F20:$K20)&lt;&gt;0),ISBLANK(D20))</formula>
    </cfRule>
  </conditionalFormatting>
  <conditionalFormatting sqref="F20:I53">
    <cfRule type="expression" dxfId="8" priority="1" stopIfTrue="1">
      <formula>AND(OR(COUNTA($C20:$C20)&lt;&gt;0,COUNTA($F20:$K20)&lt;&gt;0),ISBLANK(F20))</formula>
    </cfRule>
  </conditionalFormatting>
  <dataValidations xWindow="965" yWindow="545" count="13">
    <dataValidation type="whole" allowBlank="1" showInputMessage="1" showErrorMessage="1" promptTitle="Пол" prompt="1-Ж_x000a_2-М" sqref="F20:F59">
      <formula1>1</formula1>
      <formula2>2</formula2>
    </dataValidation>
    <dataValidation type="list" allowBlank="1" showInputMessage="1" showErrorMessage="1" promptTitle="Месяц рождения" prompt="Выберите месяц из списка" sqref="G20:G59">
      <formula1>"01,02,03,04,05,06,07,08,09,10,11,12"</formula1>
    </dataValidation>
    <dataValidation allowBlank="1" showInputMessage="1" showErrorMessage="1" promptTitle="Фамилия, Имя учащегося" prompt=" " sqref="D20:D59"/>
    <dataValidation allowBlank="1" showErrorMessage="1" promptTitle="Код региона" prompt=" " sqref="F1"/>
    <dataValidation type="textLength" allowBlank="1" showInputMessage="1" showErrorMessage="1" promptTitle="Код школы" prompt=" " sqref="H1">
      <formula1>0</formula1>
      <formula2>6</formula2>
    </dataValidation>
    <dataValidation type="whole" allowBlank="1" showInputMessage="1" showErrorMessage="1" promptTitle="Анкета учителя" prompt="1 - анкета для учителя заполнена_x000a_0 - анкета для учителя не заполнена" sqref="F6">
      <formula1>0</formula1>
      <formula2>1</formula2>
    </dataValidation>
    <dataValidation type="whole" allowBlank="1" showInputMessage="1" showErrorMessage="1" promptTitle="Номер по журналу" prompt=" " sqref="C20:C59">
      <formula1>1</formula1>
      <formula2>99</formula2>
    </dataValidation>
    <dataValidation allowBlank="1" showInputMessage="1" showErrorMessage="1" promptTitle="Код учащегося" prompt="Данное поле заполняется автоматически" sqref="E20:E59"/>
    <dataValidation type="whole" allowBlank="1" showInputMessage="1" showErrorMessage="1" promptTitle="Выполнение работы" prompt="Введите номер варианта, если учащийся выполнял работу (1,2,3 или 4)._x000a_Введите 0, если учащийся не выполнял работу (не принимал участия)_x000a_" sqref="J20:J59">
      <formula1>0</formula1>
      <formula2>4</formula2>
    </dataValidation>
    <dataValidation type="list" allowBlank="1" showInputMessage="1" showErrorMessage="1" promptTitle="Год рождения" prompt="Выберите год рождения из списка" sqref="H45:H59">
      <formula1>"97,98,99,00,01,02"</formula1>
    </dataValidation>
    <dataValidation type="list" allowBlank="1" showDropDown="1" showInputMessage="1" showErrorMessage="1" promptTitle="Код класса" prompt=" " sqref="J1">
      <formula1>$N$8:$N$18</formula1>
    </dataValidation>
    <dataValidation type="list" allowBlank="1" showInputMessage="1" showErrorMessage="1" promptTitle="Год рождения" prompt="Выберите год рождения из списка" sqref="H20:H44">
      <formula1>"95,96,97,98,99,00,01,02"</formula1>
    </dataValidation>
    <dataValidation type="list" allowBlank="1" showDropDown="1" showInputMessage="1" showErrorMessage="1" errorTitle="Неправильное заполнение поля" error="Значением поля является оценка или &quot;0&quot;, если ученик не аттестован." promptTitle="Отметка по математике" prompt="Укажите итоговую оценку по математике за курс основной школы" sqref="I20:I59">
      <formula1>"2,3,4,5"</formula1>
    </dataValidation>
  </dataValidations>
  <pageMargins left="0.42708333333333331" right="0.23958333333333334" top="0.84375" bottom="0.98425196850393704" header="0.51181102362204722" footer="0.51181102362204722"/>
  <pageSetup paperSize="9" scale="75" fitToWidth="0" fitToHeight="0" orientation="portrait" r:id="rId2"/>
  <headerFooter alignWithMargins="0">
    <oddHeader>&amp;CКГБУ "Региональный центр оценки качества образования"</oddHeader>
  </headerFooter>
  <ignoredErrors>
    <ignoredError sqref="G54:H59" numberStoredAsText="1"/>
  </ignoredError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7"/>
  <sheetViews>
    <sheetView view="pageLayout" zoomScaleNormal="100" workbookViewId="0">
      <selection activeCell="C5" sqref="C5"/>
    </sheetView>
  </sheetViews>
  <sheetFormatPr defaultColWidth="58.5703125" defaultRowHeight="12.75" x14ac:dyDescent="0.2"/>
  <cols>
    <col min="1" max="1" width="8.85546875" customWidth="1"/>
    <col min="2" max="2" width="22.5703125" customWidth="1"/>
    <col min="3" max="3" width="36.42578125" customWidth="1"/>
    <col min="4" max="4" width="29.5703125" customWidth="1"/>
    <col min="5" max="5" width="32" customWidth="1"/>
    <col min="6" max="6" width="6.5703125" customWidth="1"/>
    <col min="7" max="7" width="8.42578125" customWidth="1"/>
    <col min="8" max="8" width="6.5703125" customWidth="1"/>
    <col min="9" max="207" width="9.140625" customWidth="1"/>
    <col min="208" max="208" width="5.5703125" customWidth="1"/>
  </cols>
  <sheetData>
    <row r="1" spans="1:8" s="51" customFormat="1" ht="17.25" customHeight="1" x14ac:dyDescent="0.25">
      <c r="A1" s="635" t="s">
        <v>272</v>
      </c>
      <c r="B1" s="635"/>
      <c r="C1" s="635"/>
      <c r="D1" s="635"/>
      <c r="E1" s="635"/>
      <c r="F1" s="635"/>
      <c r="G1" s="635"/>
      <c r="H1" s="109"/>
    </row>
    <row r="2" spans="1:8" s="51" customFormat="1" ht="27" customHeight="1" x14ac:dyDescent="0.25">
      <c r="A2" s="53" t="s">
        <v>90</v>
      </c>
      <c r="B2" s="634">
        <f>'СПИСОК КЛАССА'!E3</f>
        <v>0</v>
      </c>
      <c r="C2" s="634"/>
      <c r="D2" s="634"/>
      <c r="E2" s="131" t="s">
        <v>91</v>
      </c>
      <c r="F2" s="633" t="str">
        <f>'СПИСОК КЛАССА'!J1</f>
        <v>1001</v>
      </c>
      <c r="G2" s="633"/>
    </row>
    <row r="3" spans="1:8" s="51" customFormat="1" ht="2.25" customHeight="1" x14ac:dyDescent="0.25">
      <c r="A3" s="631"/>
      <c r="B3" s="631"/>
      <c r="C3" s="631"/>
      <c r="D3" s="631"/>
      <c r="E3" s="631"/>
      <c r="F3" s="631"/>
      <c r="G3" s="631"/>
      <c r="H3" s="631"/>
    </row>
    <row r="4" spans="1:8" ht="52.5" customHeight="1" x14ac:dyDescent="0.2">
      <c r="A4" s="114"/>
      <c r="B4" s="115"/>
      <c r="C4" s="116" t="s">
        <v>152</v>
      </c>
      <c r="D4" s="632" t="s">
        <v>153</v>
      </c>
      <c r="E4" s="632"/>
    </row>
    <row r="5" spans="1:8" ht="78" customHeight="1" x14ac:dyDescent="0.2">
      <c r="A5" s="117"/>
      <c r="B5" s="116" t="s">
        <v>96</v>
      </c>
      <c r="C5" s="116" t="s">
        <v>273</v>
      </c>
      <c r="D5" s="116" t="s">
        <v>274</v>
      </c>
      <c r="E5" s="116" t="s">
        <v>275</v>
      </c>
    </row>
    <row r="6" spans="1:8" ht="18" customHeight="1" x14ac:dyDescent="0.2">
      <c r="A6" s="111" t="s">
        <v>97</v>
      </c>
      <c r="B6" s="169">
        <f>Результаты_Класс!AD19*100</f>
        <v>69.22794117647058</v>
      </c>
      <c r="C6" s="170">
        <f>(Результаты_Класс!AI19+Результаты_Класс!AI18)/'Ответы учащихся'!E7*100</f>
        <v>2.9411764705882351</v>
      </c>
      <c r="D6" s="170">
        <f>Результаты_Класс!AI17/'Ответы учащихся'!E7*100</f>
        <v>58.82352941176471</v>
      </c>
      <c r="E6" s="170">
        <f>(Результаты_Класс!AI15+Результаты_Класс!AI16)/'Ответы учащихся'!E7*100</f>
        <v>38.235294117647058</v>
      </c>
      <c r="G6" s="113"/>
    </row>
    <row r="7" spans="1:8" x14ac:dyDescent="0.2">
      <c r="B7" s="130"/>
    </row>
  </sheetData>
  <sheetProtection password="C62D" sheet="1" scenarios="1" selectLockedCells="1" selectUnlockedCells="1"/>
  <customSheetViews>
    <customSheetView guid="{BFE542F4-8A0C-4C42-A5CA-C7B0ACF2717E}">
      <selection activeCell="AA6" sqref="AA6"/>
      <pageMargins left="0.11811023622047245" right="0.11811023622047245" top="0.60416666666666663" bottom="0.19685039370078741" header="0.31496062992125984" footer="0.31496062992125984"/>
      <pageSetup paperSize="9" orientation="landscape" verticalDpi="0" r:id="rId1"/>
      <headerFooter>
        <oddHeader>&amp;CКГБУ "Региональный центр оценки качества образования"</oddHeader>
      </headerFooter>
    </customSheetView>
  </customSheetViews>
  <mergeCells count="5">
    <mergeCell ref="A3:H3"/>
    <mergeCell ref="D4:E4"/>
    <mergeCell ref="F2:G2"/>
    <mergeCell ref="B2:D2"/>
    <mergeCell ref="A1:G1"/>
  </mergeCells>
  <pageMargins left="0.11811023622047245" right="0.11811023622047245" top="0.60416666666666663" bottom="0.19685039370078741" header="0.31496062992125984" footer="0.31496062992125984"/>
  <pageSetup paperSize="9" orientation="landscape" r:id="rId2"/>
  <headerFooter>
    <oddHeader>&amp;CКГБУ "Региональный центр оценки качества образования"</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2"/>
  <sheetViews>
    <sheetView view="pageLayout" topLeftCell="A4" zoomScaleNormal="100" workbookViewId="0">
      <selection activeCell="L18" sqref="L18"/>
    </sheetView>
  </sheetViews>
  <sheetFormatPr defaultRowHeight="12.75" x14ac:dyDescent="0.2"/>
  <cols>
    <col min="1" max="1" width="9.140625" customWidth="1"/>
    <col min="2" max="2" width="12.28515625" customWidth="1"/>
    <col min="3" max="3" width="11" customWidth="1"/>
    <col min="4" max="4" width="9.28515625" customWidth="1"/>
    <col min="5" max="5" width="11.7109375" customWidth="1"/>
    <col min="6" max="6" width="10.85546875" customWidth="1"/>
    <col min="7" max="7" width="11.5703125" customWidth="1"/>
    <col min="8" max="8" width="11.85546875" customWidth="1"/>
    <col min="9" max="9" width="12.140625" customWidth="1"/>
    <col min="10" max="10" width="11.42578125" customWidth="1"/>
    <col min="11" max="11" width="11.28515625" customWidth="1"/>
    <col min="12" max="12" width="9.5703125" customWidth="1"/>
  </cols>
  <sheetData>
    <row r="1" spans="1:15" ht="6" customHeight="1" x14ac:dyDescent="0.2"/>
    <row r="2" spans="1:15" ht="21" customHeight="1" x14ac:dyDescent="0.25">
      <c r="A2" s="635" t="s">
        <v>179</v>
      </c>
      <c r="B2" s="635"/>
      <c r="C2" s="635"/>
      <c r="D2" s="635"/>
      <c r="E2" s="635"/>
      <c r="F2" s="635"/>
      <c r="G2" s="635"/>
      <c r="H2" s="635"/>
      <c r="I2" s="635"/>
      <c r="J2" s="635"/>
      <c r="K2" s="635"/>
      <c r="L2" s="635"/>
      <c r="M2" s="109"/>
      <c r="N2" s="109"/>
      <c r="O2" s="109"/>
    </row>
    <row r="3" spans="1:15" ht="32.25" customHeight="1" x14ac:dyDescent="0.2">
      <c r="A3" s="118" t="s">
        <v>90</v>
      </c>
      <c r="B3" s="634">
        <f>'СПИСОК КЛАССА'!E3</f>
        <v>0</v>
      </c>
      <c r="C3" s="634"/>
      <c r="D3" s="634"/>
      <c r="E3" s="634"/>
      <c r="F3" s="634"/>
      <c r="G3" s="634"/>
      <c r="H3" s="634"/>
      <c r="J3" s="110" t="s">
        <v>91</v>
      </c>
      <c r="K3" s="104" t="str">
        <f>'СПИСОК КЛАССА'!J1</f>
        <v>1001</v>
      </c>
      <c r="L3" s="110"/>
      <c r="N3" s="51"/>
      <c r="O3" s="51"/>
    </row>
    <row r="4" spans="1:15" ht="7.5" customHeight="1" x14ac:dyDescent="0.2">
      <c r="A4" s="118"/>
      <c r="B4" s="168"/>
      <c r="C4" s="168"/>
      <c r="D4" s="168"/>
      <c r="E4" s="178"/>
      <c r="F4" s="178"/>
      <c r="G4" s="178"/>
      <c r="H4" s="178"/>
      <c r="I4" s="110"/>
      <c r="J4" s="110"/>
      <c r="K4" s="167"/>
      <c r="L4" s="110"/>
      <c r="N4" s="51"/>
      <c r="O4" s="51"/>
    </row>
    <row r="5" spans="1:15" ht="29.25" customHeight="1" x14ac:dyDescent="0.2">
      <c r="B5" s="636" t="s">
        <v>233</v>
      </c>
      <c r="C5" s="639" t="s">
        <v>121</v>
      </c>
      <c r="D5" s="641"/>
      <c r="E5" s="641"/>
      <c r="F5" s="641"/>
      <c r="G5" s="641"/>
      <c r="H5" s="641"/>
      <c r="I5" s="641"/>
      <c r="J5" s="641"/>
      <c r="K5" s="641"/>
      <c r="L5" s="640"/>
      <c r="M5" s="108"/>
      <c r="N5" s="108"/>
      <c r="O5" s="108"/>
    </row>
    <row r="6" spans="1:15" ht="23.25" customHeight="1" x14ac:dyDescent="0.2">
      <c r="B6" s="637"/>
      <c r="C6" s="639" t="s">
        <v>120</v>
      </c>
      <c r="D6" s="640"/>
      <c r="E6" s="639" t="s">
        <v>232</v>
      </c>
      <c r="F6" s="640"/>
      <c r="G6" s="639" t="s">
        <v>117</v>
      </c>
      <c r="H6" s="640"/>
      <c r="I6" s="639" t="s">
        <v>118</v>
      </c>
      <c r="J6" s="640"/>
      <c r="K6" s="632" t="s">
        <v>119</v>
      </c>
      <c r="L6" s="632"/>
    </row>
    <row r="7" spans="1:15" ht="27" customHeight="1" x14ac:dyDescent="0.2">
      <c r="B7" s="638"/>
      <c r="C7" s="299" t="s">
        <v>154</v>
      </c>
      <c r="D7" s="299" t="s">
        <v>155</v>
      </c>
      <c r="E7" s="159" t="s">
        <v>154</v>
      </c>
      <c r="F7" s="159" t="s">
        <v>155</v>
      </c>
      <c r="G7" s="159" t="s">
        <v>154</v>
      </c>
      <c r="H7" s="159" t="s">
        <v>155</v>
      </c>
      <c r="I7" s="159" t="s">
        <v>154</v>
      </c>
      <c r="J7" s="159" t="s">
        <v>155</v>
      </c>
      <c r="K7" s="159" t="s">
        <v>154</v>
      </c>
      <c r="L7" s="159" t="s">
        <v>155</v>
      </c>
    </row>
    <row r="8" spans="1:15" ht="22.5" customHeight="1" x14ac:dyDescent="0.2">
      <c r="B8" s="111">
        <f>'Ответы учащихся'!E7</f>
        <v>34</v>
      </c>
      <c r="C8" s="171">
        <f>Результаты_Класс!AI19</f>
        <v>0</v>
      </c>
      <c r="D8" s="112">
        <f>C8/B8</f>
        <v>0</v>
      </c>
      <c r="E8" s="171">
        <f>Результаты_Класс!AI18</f>
        <v>1</v>
      </c>
      <c r="F8" s="112">
        <f>E8/$B$8</f>
        <v>2.9411764705882353E-2</v>
      </c>
      <c r="G8" s="171">
        <f>Результаты_Класс!AI17</f>
        <v>20</v>
      </c>
      <c r="H8" s="112">
        <f>G8/$B$8</f>
        <v>0.58823529411764708</v>
      </c>
      <c r="I8" s="171">
        <f>Результаты_Класс!AI16</f>
        <v>8</v>
      </c>
      <c r="J8" s="112">
        <f>I8/$B$8</f>
        <v>0.23529411764705882</v>
      </c>
      <c r="K8" s="172">
        <f>Результаты_Класс!AI15</f>
        <v>5</v>
      </c>
      <c r="L8" s="112">
        <f>K8/$B$8</f>
        <v>0.14705882352941177</v>
      </c>
      <c r="M8" s="113"/>
    </row>
    <row r="9" spans="1:15" hidden="1" x14ac:dyDescent="0.2">
      <c r="B9" s="173"/>
      <c r="C9" s="173"/>
      <c r="D9" t="s">
        <v>120</v>
      </c>
      <c r="E9" s="173"/>
      <c r="F9" s="214" t="s">
        <v>232</v>
      </c>
      <c r="G9" s="214"/>
      <c r="H9" s="214" t="s">
        <v>117</v>
      </c>
      <c r="I9" s="214"/>
      <c r="J9" s="214" t="s">
        <v>118</v>
      </c>
      <c r="K9" s="214"/>
      <c r="L9" s="214" t="s">
        <v>119</v>
      </c>
    </row>
    <row r="17" spans="14:14" x14ac:dyDescent="0.2">
      <c r="N17" s="56"/>
    </row>
    <row r="18" spans="14:14" x14ac:dyDescent="0.2">
      <c r="N18" s="56"/>
    </row>
    <row r="19" spans="14:14" x14ac:dyDescent="0.2">
      <c r="N19" s="56"/>
    </row>
    <row r="20" spans="14:14" x14ac:dyDescent="0.2">
      <c r="N20" s="56"/>
    </row>
    <row r="21" spans="14:14" x14ac:dyDescent="0.2">
      <c r="N21" s="56"/>
    </row>
    <row r="22" spans="14:14" x14ac:dyDescent="0.2">
      <c r="N22" s="56"/>
    </row>
    <row r="23" spans="14:14" x14ac:dyDescent="0.2">
      <c r="N23" s="56"/>
    </row>
    <row r="24" spans="14:14" x14ac:dyDescent="0.2">
      <c r="N24" s="56"/>
    </row>
    <row r="25" spans="14:14" x14ac:dyDescent="0.2">
      <c r="N25" s="56"/>
    </row>
    <row r="26" spans="14:14" x14ac:dyDescent="0.2">
      <c r="N26" s="56"/>
    </row>
    <row r="27" spans="14:14" x14ac:dyDescent="0.2">
      <c r="N27" s="56"/>
    </row>
    <row r="28" spans="14:14" x14ac:dyDescent="0.2">
      <c r="N28" s="56"/>
    </row>
    <row r="29" spans="14:14" x14ac:dyDescent="0.2">
      <c r="N29" s="56"/>
    </row>
    <row r="30" spans="14:14" x14ac:dyDescent="0.2">
      <c r="N30" s="56"/>
    </row>
    <row r="31" spans="14:14" x14ac:dyDescent="0.2">
      <c r="N31" s="56"/>
    </row>
    <row r="32" spans="14:14" x14ac:dyDescent="0.2">
      <c r="N32" s="56"/>
    </row>
    <row r="33" spans="14:14" x14ac:dyDescent="0.2">
      <c r="N33" s="56"/>
    </row>
    <row r="34" spans="14:14" x14ac:dyDescent="0.2">
      <c r="N34" s="56"/>
    </row>
    <row r="35" spans="14:14" x14ac:dyDescent="0.2">
      <c r="N35" s="56"/>
    </row>
    <row r="36" spans="14:14" x14ac:dyDescent="0.2">
      <c r="N36" s="56"/>
    </row>
    <row r="37" spans="14:14" x14ac:dyDescent="0.2">
      <c r="N37" s="56"/>
    </row>
    <row r="38" spans="14:14" x14ac:dyDescent="0.2">
      <c r="N38" s="56"/>
    </row>
    <row r="39" spans="14:14" x14ac:dyDescent="0.2">
      <c r="N39" s="56"/>
    </row>
    <row r="40" spans="14:14" x14ac:dyDescent="0.2">
      <c r="N40" s="56"/>
    </row>
    <row r="41" spans="14:14" x14ac:dyDescent="0.2">
      <c r="N41" s="56"/>
    </row>
    <row r="42" spans="14:14" x14ac:dyDescent="0.2">
      <c r="N42" s="56"/>
    </row>
  </sheetData>
  <sheetProtection password="C62D" sheet="1" scenarios="1" selectLockedCells="1" selectUnlockedCells="1"/>
  <customSheetViews>
    <customSheetView guid="{BFE542F4-8A0C-4C42-A5CA-C7B0ACF2717E}">
      <selection activeCell="AA6" sqref="AA6"/>
      <pageMargins left="0.7" right="0.7" top="0.75" bottom="0.75" header="0.3" footer="0.3"/>
      <pageSetup paperSize="9" orientation="portrait" verticalDpi="0" r:id="rId1"/>
    </customSheetView>
  </customSheetViews>
  <mergeCells count="9">
    <mergeCell ref="A2:L2"/>
    <mergeCell ref="B3:H3"/>
    <mergeCell ref="B5:B7"/>
    <mergeCell ref="G6:H6"/>
    <mergeCell ref="I6:J6"/>
    <mergeCell ref="K6:L6"/>
    <mergeCell ref="E6:F6"/>
    <mergeCell ref="C5:L5"/>
    <mergeCell ref="C6:D6"/>
  </mergeCells>
  <pageMargins left="0.7" right="0.7" top="0.75" bottom="0.75" header="0.3" footer="0.3"/>
  <pageSetup paperSize="9" orientation="landscape" r:id="rId2"/>
  <headerFooter>
    <oddHeader>&amp;CКГБУ "Региональный центр оценки качества образования"</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74"/>
  <sheetViews>
    <sheetView view="pageLayout" topLeftCell="A4" zoomScaleNormal="100" workbookViewId="0">
      <selection activeCell="G5" sqref="G5"/>
    </sheetView>
  </sheetViews>
  <sheetFormatPr defaultColWidth="58.5703125" defaultRowHeight="12.75" x14ac:dyDescent="0.2"/>
  <cols>
    <col min="1" max="1" width="1.7109375" customWidth="1"/>
    <col min="2" max="2" width="8.85546875" customWidth="1"/>
    <col min="3" max="5" width="38.42578125" customWidth="1"/>
    <col min="6" max="6" width="6.5703125" customWidth="1"/>
    <col min="7" max="7" width="8.42578125" customWidth="1"/>
    <col min="8" max="8" width="6.5703125" customWidth="1"/>
    <col min="9" max="180" width="9.140625" customWidth="1"/>
    <col min="181" max="181" width="5.5703125" customWidth="1"/>
  </cols>
  <sheetData>
    <row r="1" spans="2:8" s="51" customFormat="1" ht="17.25" customHeight="1" x14ac:dyDescent="0.25">
      <c r="B1" s="635" t="s">
        <v>276</v>
      </c>
      <c r="C1" s="635"/>
      <c r="D1" s="635"/>
      <c r="E1" s="635"/>
      <c r="F1" s="635"/>
      <c r="G1" s="635"/>
      <c r="H1" s="109"/>
    </row>
    <row r="2" spans="2:8" s="51" customFormat="1" ht="27.75" customHeight="1" x14ac:dyDescent="0.25">
      <c r="B2" s="158" t="s">
        <v>90</v>
      </c>
      <c r="C2" s="634">
        <f>'СПИСОК КЛАССА'!E3</f>
        <v>0</v>
      </c>
      <c r="D2" s="634"/>
      <c r="E2" s="166" t="s">
        <v>91</v>
      </c>
      <c r="F2" s="633" t="str">
        <f>'СПИСОК КЛАССА'!J1</f>
        <v>1001</v>
      </c>
      <c r="G2" s="633"/>
    </row>
    <row r="3" spans="2:8" s="51" customFormat="1" ht="7.5" customHeight="1" x14ac:dyDescent="0.25">
      <c r="B3" s="631"/>
      <c r="C3" s="631"/>
      <c r="D3" s="631"/>
      <c r="E3" s="631"/>
      <c r="F3" s="631"/>
      <c r="G3" s="631"/>
      <c r="H3" s="631"/>
    </row>
    <row r="4" spans="2:8" ht="48" customHeight="1" x14ac:dyDescent="0.2">
      <c r="B4" s="117"/>
      <c r="C4" s="159" t="s">
        <v>156</v>
      </c>
      <c r="D4" s="159" t="s">
        <v>157</v>
      </c>
      <c r="E4" s="159" t="s">
        <v>158</v>
      </c>
    </row>
    <row r="5" spans="2:8" ht="41.25" customHeight="1" x14ac:dyDescent="0.2">
      <c r="B5" s="111" t="s">
        <v>97</v>
      </c>
      <c r="C5" s="174">
        <v>18</v>
      </c>
      <c r="D5" s="170">
        <f>Результаты_Класс!AE19/Результаты_Класс!F6</f>
        <v>13.911764705882353</v>
      </c>
      <c r="E5" s="170">
        <f>Результаты_Класс!AF19</f>
        <v>77.287581699346404</v>
      </c>
      <c r="G5" s="113"/>
    </row>
    <row r="6" spans="2:8" ht="44.25" customHeight="1" x14ac:dyDescent="0.2">
      <c r="C6" s="130"/>
    </row>
    <row r="36" ht="18" customHeight="1" x14ac:dyDescent="0.2"/>
    <row r="70" ht="18" customHeight="1" x14ac:dyDescent="0.2"/>
    <row r="73" ht="47.25" customHeight="1" x14ac:dyDescent="0.2"/>
    <row r="74" ht="18.75" customHeight="1" x14ac:dyDescent="0.2"/>
  </sheetData>
  <sheetProtection password="C62D" sheet="1" scenarios="1" selectLockedCells="1" selectUnlockedCells="1"/>
  <mergeCells count="4">
    <mergeCell ref="C2:D2"/>
    <mergeCell ref="B1:G1"/>
    <mergeCell ref="F2:G2"/>
    <mergeCell ref="B3:H3"/>
  </mergeCells>
  <pageMargins left="0.11811023622047245" right="0.11811023622047245" top="0.60416666666666663" bottom="0.19685039370078741" header="0.31496062992125984" footer="0.31496062992125984"/>
  <pageSetup paperSize="9" orientation="landscape" r:id="rId1"/>
  <headerFooter>
    <oddHeader>&amp;CКГБУ "Региональный центр оценки качества образования"</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7"/>
  <sheetViews>
    <sheetView view="pageLayout" zoomScaleNormal="100" workbookViewId="0">
      <selection sqref="A1:S1"/>
    </sheetView>
  </sheetViews>
  <sheetFormatPr defaultColWidth="58.5703125" defaultRowHeight="12.75" x14ac:dyDescent="0.2"/>
  <cols>
    <col min="1" max="1" width="23" customWidth="1"/>
    <col min="2" max="19" width="6.85546875" customWidth="1"/>
    <col min="20" max="191" width="9.140625" customWidth="1"/>
    <col min="192" max="192" width="5.5703125" customWidth="1"/>
  </cols>
  <sheetData>
    <row r="1" spans="1:19" s="51" customFormat="1" ht="17.25" customHeight="1" x14ac:dyDescent="0.25">
      <c r="A1" s="642" t="s">
        <v>277</v>
      </c>
      <c r="B1" s="642"/>
      <c r="C1" s="642"/>
      <c r="D1" s="642"/>
      <c r="E1" s="642"/>
      <c r="F1" s="642"/>
      <c r="G1" s="642"/>
      <c r="H1" s="642"/>
      <c r="I1" s="642"/>
      <c r="J1" s="642"/>
      <c r="K1" s="642"/>
      <c r="L1" s="642"/>
      <c r="M1" s="642"/>
      <c r="N1" s="642"/>
      <c r="O1" s="642"/>
      <c r="P1" s="642"/>
      <c r="Q1" s="642"/>
      <c r="R1" s="642"/>
      <c r="S1" s="642"/>
    </row>
    <row r="2" spans="1:19" s="51" customFormat="1" ht="6.75" customHeight="1" x14ac:dyDescent="0.2">
      <c r="A2" s="229"/>
      <c r="B2" s="229"/>
      <c r="C2" s="229"/>
      <c r="D2" s="229"/>
      <c r="E2" s="229"/>
      <c r="F2" s="229"/>
      <c r="G2" s="229"/>
      <c r="H2" s="229"/>
      <c r="I2" s="229"/>
      <c r="J2" s="229"/>
      <c r="K2" s="229"/>
      <c r="L2" s="229"/>
      <c r="M2" s="229"/>
      <c r="N2" s="229"/>
      <c r="O2" s="229"/>
      <c r="P2" s="229"/>
      <c r="Q2" s="229"/>
      <c r="R2" s="229"/>
      <c r="S2" s="229"/>
    </row>
    <row r="3" spans="1:19" s="51" customFormat="1" ht="8.25" customHeight="1" x14ac:dyDescent="0.25">
      <c r="A3" s="191"/>
      <c r="B3" s="229"/>
      <c r="C3" s="229"/>
      <c r="D3" s="229"/>
      <c r="E3" s="229"/>
      <c r="F3" s="229"/>
      <c r="G3" s="229"/>
      <c r="H3" s="229"/>
      <c r="I3" s="229"/>
      <c r="J3" s="229"/>
      <c r="K3" s="229"/>
      <c r="L3" s="229"/>
      <c r="M3" s="229"/>
      <c r="N3" s="229"/>
      <c r="O3" s="229"/>
      <c r="P3" s="229"/>
      <c r="Q3" s="229"/>
      <c r="R3" s="229"/>
      <c r="S3" s="229"/>
    </row>
    <row r="4" spans="1:19" ht="48" customHeight="1" x14ac:dyDescent="0.2">
      <c r="A4" s="231" t="s">
        <v>159</v>
      </c>
      <c r="B4" s="230">
        <v>1</v>
      </c>
      <c r="C4" s="230">
        <v>2</v>
      </c>
      <c r="D4" s="230">
        <v>3</v>
      </c>
      <c r="E4" s="230">
        <v>4</v>
      </c>
      <c r="F4" s="230">
        <v>5</v>
      </c>
      <c r="G4" s="230">
        <v>6</v>
      </c>
      <c r="H4" s="230">
        <v>7</v>
      </c>
      <c r="I4" s="230">
        <v>8</v>
      </c>
      <c r="J4" s="230">
        <v>9</v>
      </c>
      <c r="K4" s="230">
        <v>10</v>
      </c>
      <c r="L4" s="230">
        <v>11</v>
      </c>
      <c r="M4" s="230">
        <v>12</v>
      </c>
      <c r="N4" s="230">
        <v>13</v>
      </c>
      <c r="O4" s="230">
        <v>14</v>
      </c>
      <c r="P4" s="230">
        <v>15</v>
      </c>
      <c r="Q4" s="230">
        <v>16</v>
      </c>
      <c r="R4" s="230">
        <v>17</v>
      </c>
      <c r="S4" s="230">
        <v>18</v>
      </c>
    </row>
    <row r="5" spans="1:19" ht="41.25" customHeight="1" x14ac:dyDescent="0.2">
      <c r="A5" s="192" t="s">
        <v>160</v>
      </c>
      <c r="B5" s="193">
        <f>Результаты_Класс!F17</f>
        <v>28</v>
      </c>
      <c r="C5" s="193">
        <f>Результаты_Класс!G17</f>
        <v>31</v>
      </c>
      <c r="D5" s="193">
        <f>Результаты_Класс!H17</f>
        <v>31</v>
      </c>
      <c r="E5" s="193">
        <f>Результаты_Класс!I17</f>
        <v>33</v>
      </c>
      <c r="F5" s="193">
        <f>Результаты_Класс!J17</f>
        <v>27</v>
      </c>
      <c r="G5" s="193">
        <f>Результаты_Класс!K17</f>
        <v>28</v>
      </c>
      <c r="H5" s="193">
        <f>Результаты_Класс!L17</f>
        <v>32</v>
      </c>
      <c r="I5" s="193">
        <f>Результаты_Класс!M17</f>
        <v>28</v>
      </c>
      <c r="J5" s="193">
        <f>Результаты_Класс!N17</f>
        <v>15</v>
      </c>
      <c r="K5" s="193">
        <f>Результаты_Класс!O17</f>
        <v>30</v>
      </c>
      <c r="L5" s="193">
        <f>Результаты_Класс!P17</f>
        <v>21</v>
      </c>
      <c r="M5" s="193">
        <f>Результаты_Класс!Q17</f>
        <v>25</v>
      </c>
      <c r="N5" s="193">
        <f>Результаты_Класс!R17</f>
        <v>28</v>
      </c>
      <c r="O5" s="193">
        <f>Результаты_Класс!S17</f>
        <v>25</v>
      </c>
      <c r="P5" s="193">
        <f>Результаты_Класс!T17</f>
        <v>0</v>
      </c>
      <c r="Q5" s="193">
        <f>Результаты_Класс!U17</f>
        <v>26</v>
      </c>
      <c r="R5" s="193">
        <f>Результаты_Класс!V17</f>
        <v>33</v>
      </c>
      <c r="S5" s="193">
        <f>Результаты_Класс!W17</f>
        <v>32</v>
      </c>
    </row>
    <row r="6" spans="1:19" ht="44.25" customHeight="1" x14ac:dyDescent="0.2">
      <c r="A6" s="192" t="s">
        <v>161</v>
      </c>
      <c r="B6" s="194">
        <f>B5/'Ответы учащихся'!$E$7*100</f>
        <v>82.35294117647058</v>
      </c>
      <c r="C6" s="194">
        <f>C5/'Ответы учащихся'!$E$7*100</f>
        <v>91.17647058823529</v>
      </c>
      <c r="D6" s="194">
        <f>D5/'Ответы учащихся'!$E$7*100</f>
        <v>91.17647058823529</v>
      </c>
      <c r="E6" s="194">
        <f>E5/'Ответы учащихся'!$E$7*100</f>
        <v>97.058823529411768</v>
      </c>
      <c r="F6" s="194">
        <f>F5/'Ответы учащихся'!$E$7*100</f>
        <v>79.411764705882348</v>
      </c>
      <c r="G6" s="194">
        <f>G5/'Ответы учащихся'!$E$7*100</f>
        <v>82.35294117647058</v>
      </c>
      <c r="H6" s="194">
        <f>H5/'Ответы учащихся'!$E$7*100</f>
        <v>94.117647058823522</v>
      </c>
      <c r="I6" s="194">
        <f>I5/'Ответы учащихся'!$E$7*100</f>
        <v>82.35294117647058</v>
      </c>
      <c r="J6" s="194">
        <f>J5/'Ответы учащихся'!$E$7*100</f>
        <v>44.117647058823529</v>
      </c>
      <c r="K6" s="194">
        <f>K5/'Ответы учащихся'!$E$7*100</f>
        <v>88.235294117647058</v>
      </c>
      <c r="L6" s="194">
        <f>L5/'Ответы учащихся'!$E$7*100</f>
        <v>61.764705882352942</v>
      </c>
      <c r="M6" s="194">
        <f>M5/'Ответы учащихся'!$E$7*100</f>
        <v>73.529411764705884</v>
      </c>
      <c r="N6" s="194">
        <f>N5/'Ответы учащихся'!$E$7*100</f>
        <v>82.35294117647058</v>
      </c>
      <c r="O6" s="194">
        <f>O5/'Ответы учащихся'!$E$7*100</f>
        <v>73.529411764705884</v>
      </c>
      <c r="P6" s="194">
        <f>P5/'Ответы учащихся'!$E$7*100</f>
        <v>0</v>
      </c>
      <c r="Q6" s="194">
        <f>Q5/'Ответы учащихся'!$E$7*100</f>
        <v>76.470588235294116</v>
      </c>
      <c r="R6" s="194">
        <f>R5/'Ответы учащихся'!$E$7*100</f>
        <v>97.058823529411768</v>
      </c>
      <c r="S6" s="194">
        <f>S5/'Ответы учащихся'!$E$7*100</f>
        <v>94.117647058823522</v>
      </c>
    </row>
    <row r="7" spans="1:19" x14ac:dyDescent="0.2">
      <c r="A7" s="176"/>
      <c r="B7" s="176"/>
      <c r="C7" s="176"/>
      <c r="D7" s="176"/>
      <c r="E7" s="176"/>
      <c r="F7" s="176"/>
      <c r="G7" s="176"/>
      <c r="H7" s="176"/>
      <c r="I7" s="176"/>
      <c r="J7" s="176"/>
      <c r="K7" s="176"/>
      <c r="L7" s="176"/>
      <c r="M7" s="176"/>
      <c r="N7" s="176"/>
      <c r="O7" s="176"/>
      <c r="P7" s="176"/>
      <c r="Q7" s="176"/>
      <c r="R7" s="176"/>
      <c r="S7" s="176"/>
    </row>
    <row r="8" spans="1:19" x14ac:dyDescent="0.2">
      <c r="A8" s="176"/>
      <c r="B8" s="176"/>
      <c r="C8" s="176"/>
      <c r="D8" s="176"/>
      <c r="E8" s="176"/>
      <c r="F8" s="176"/>
      <c r="G8" s="176"/>
      <c r="H8" s="176"/>
      <c r="I8" s="176"/>
      <c r="J8" s="176"/>
      <c r="K8" s="176"/>
      <c r="L8" s="176"/>
      <c r="M8" s="176"/>
      <c r="N8" s="176"/>
      <c r="O8" s="176"/>
      <c r="P8" s="176"/>
      <c r="Q8" s="176"/>
      <c r="R8" s="176"/>
      <c r="S8" s="176"/>
    </row>
    <row r="9" spans="1:19" x14ac:dyDescent="0.2">
      <c r="A9" s="176"/>
      <c r="B9" s="176"/>
      <c r="C9" s="176"/>
      <c r="D9" s="176"/>
      <c r="E9" s="176"/>
      <c r="F9" s="176"/>
      <c r="G9" s="176"/>
      <c r="H9" s="176"/>
      <c r="I9" s="176"/>
      <c r="J9" s="176"/>
      <c r="K9" s="176"/>
      <c r="L9" s="176"/>
      <c r="M9" s="176"/>
      <c r="N9" s="176"/>
      <c r="O9" s="176"/>
      <c r="P9" s="176"/>
      <c r="Q9" s="176"/>
      <c r="R9" s="176"/>
      <c r="S9" s="176"/>
    </row>
    <row r="10" spans="1:19" x14ac:dyDescent="0.2">
      <c r="A10" s="176"/>
      <c r="B10" s="176"/>
      <c r="C10" s="176"/>
      <c r="D10" s="176"/>
      <c r="E10" s="176"/>
      <c r="F10" s="176"/>
      <c r="G10" s="176"/>
      <c r="H10" s="176"/>
      <c r="I10" s="176"/>
      <c r="J10" s="176"/>
      <c r="K10" s="176"/>
      <c r="L10" s="176"/>
      <c r="M10" s="176"/>
      <c r="N10" s="176"/>
      <c r="O10" s="176"/>
      <c r="P10" s="176"/>
      <c r="Q10" s="176"/>
      <c r="R10" s="176"/>
      <c r="S10" s="176"/>
    </row>
    <row r="11" spans="1:19" x14ac:dyDescent="0.2">
      <c r="A11" s="176"/>
      <c r="B11" s="176"/>
      <c r="C11" s="176"/>
      <c r="D11" s="176"/>
      <c r="E11" s="176"/>
      <c r="F11" s="176"/>
      <c r="G11" s="176"/>
      <c r="H11" s="176"/>
      <c r="I11" s="176"/>
      <c r="J11" s="176"/>
      <c r="K11" s="176"/>
      <c r="L11" s="176"/>
      <c r="M11" s="176"/>
      <c r="N11" s="176"/>
      <c r="O11" s="176"/>
      <c r="P11" s="176"/>
      <c r="Q11" s="176"/>
      <c r="R11" s="176"/>
      <c r="S11" s="176"/>
    </row>
    <row r="12" spans="1:19" x14ac:dyDescent="0.2">
      <c r="A12" s="176"/>
      <c r="B12" s="176"/>
      <c r="C12" s="176"/>
      <c r="D12" s="176"/>
      <c r="E12" s="176"/>
      <c r="F12" s="176"/>
      <c r="G12" s="176"/>
      <c r="H12" s="176"/>
      <c r="I12" s="176"/>
      <c r="J12" s="176"/>
      <c r="K12" s="176"/>
      <c r="L12" s="176"/>
      <c r="M12" s="176"/>
      <c r="N12" s="176"/>
      <c r="O12" s="176"/>
      <c r="P12" s="176"/>
      <c r="Q12" s="176"/>
      <c r="R12" s="176"/>
      <c r="S12" s="176"/>
    </row>
    <row r="13" spans="1:19" x14ac:dyDescent="0.2">
      <c r="A13" s="176"/>
      <c r="B13" s="176"/>
      <c r="C13" s="176"/>
      <c r="D13" s="176"/>
      <c r="E13" s="176"/>
      <c r="F13" s="176"/>
      <c r="G13" s="176"/>
      <c r="H13" s="176"/>
      <c r="I13" s="176"/>
      <c r="J13" s="176"/>
      <c r="K13" s="176"/>
      <c r="L13" s="176"/>
      <c r="M13" s="176"/>
      <c r="N13" s="176"/>
      <c r="O13" s="176"/>
      <c r="P13" s="176"/>
      <c r="Q13" s="176"/>
      <c r="R13" s="176"/>
      <c r="S13" s="176"/>
    </row>
    <row r="14" spans="1:19" x14ac:dyDescent="0.2">
      <c r="A14" s="176"/>
      <c r="B14" s="176"/>
      <c r="C14" s="176"/>
      <c r="D14" s="176"/>
      <c r="E14" s="176"/>
      <c r="F14" s="176"/>
      <c r="G14" s="176"/>
      <c r="H14" s="176"/>
      <c r="I14" s="176"/>
      <c r="J14" s="176"/>
      <c r="K14" s="176"/>
      <c r="L14" s="176"/>
      <c r="M14" s="176"/>
      <c r="N14" s="176"/>
      <c r="O14" s="176"/>
      <c r="P14" s="176"/>
      <c r="Q14" s="176"/>
      <c r="R14" s="176"/>
      <c r="S14" s="176"/>
    </row>
    <row r="15" spans="1:19" x14ac:dyDescent="0.2">
      <c r="A15" s="176"/>
      <c r="B15" s="176"/>
      <c r="C15" s="176"/>
      <c r="D15" s="176"/>
      <c r="E15" s="176"/>
      <c r="F15" s="176"/>
      <c r="G15" s="176"/>
      <c r="H15" s="176"/>
      <c r="I15" s="176"/>
      <c r="J15" s="176"/>
      <c r="K15" s="176"/>
      <c r="L15" s="176"/>
      <c r="M15" s="176"/>
      <c r="N15" s="176"/>
      <c r="O15" s="176"/>
      <c r="P15" s="176"/>
      <c r="Q15" s="176"/>
      <c r="R15" s="176"/>
      <c r="S15" s="176"/>
    </row>
    <row r="16" spans="1:19" x14ac:dyDescent="0.2">
      <c r="A16" s="176"/>
      <c r="B16" s="176"/>
      <c r="C16" s="176"/>
      <c r="D16" s="176"/>
      <c r="E16" s="176"/>
      <c r="F16" s="176"/>
      <c r="G16" s="176"/>
      <c r="H16" s="176"/>
      <c r="I16" s="176"/>
      <c r="J16" s="176"/>
      <c r="K16" s="176"/>
      <c r="L16" s="176"/>
      <c r="M16" s="176"/>
      <c r="N16" s="176"/>
      <c r="O16" s="176"/>
      <c r="P16" s="176"/>
      <c r="Q16" s="176"/>
      <c r="R16" s="176"/>
      <c r="S16" s="176"/>
    </row>
    <row r="17" spans="1:19" x14ac:dyDescent="0.2">
      <c r="A17" s="176"/>
      <c r="B17" s="176"/>
      <c r="C17" s="176"/>
      <c r="D17" s="176"/>
      <c r="E17" s="176"/>
      <c r="F17" s="176"/>
      <c r="G17" s="176"/>
      <c r="H17" s="176"/>
      <c r="I17" s="176"/>
      <c r="J17" s="176"/>
      <c r="K17" s="176"/>
      <c r="L17" s="176"/>
      <c r="M17" s="176"/>
      <c r="N17" s="176"/>
      <c r="O17" s="176"/>
      <c r="P17" s="176"/>
      <c r="Q17" s="176"/>
      <c r="R17" s="176"/>
      <c r="S17" s="176"/>
    </row>
    <row r="18" spans="1:19" x14ac:dyDescent="0.2">
      <c r="A18" s="176"/>
      <c r="B18" s="176"/>
      <c r="C18" s="176"/>
      <c r="D18" s="176"/>
      <c r="E18" s="176"/>
      <c r="F18" s="176"/>
      <c r="G18" s="176"/>
      <c r="H18" s="176"/>
      <c r="I18" s="176"/>
      <c r="J18" s="176"/>
      <c r="K18" s="176"/>
      <c r="L18" s="176"/>
      <c r="M18" s="176"/>
      <c r="N18" s="176"/>
      <c r="O18" s="176"/>
      <c r="P18" s="176"/>
      <c r="Q18" s="176"/>
      <c r="R18" s="176"/>
      <c r="S18" s="176"/>
    </row>
    <row r="19" spans="1:19" x14ac:dyDescent="0.2">
      <c r="A19" s="176"/>
      <c r="B19" s="176"/>
      <c r="C19" s="176"/>
      <c r="D19" s="176"/>
      <c r="E19" s="176"/>
      <c r="F19" s="176"/>
      <c r="G19" s="176"/>
      <c r="H19" s="176"/>
      <c r="I19" s="176"/>
      <c r="J19" s="176"/>
      <c r="K19" s="176"/>
      <c r="L19" s="176"/>
      <c r="M19" s="176"/>
      <c r="N19" s="176"/>
      <c r="O19" s="176"/>
      <c r="P19" s="176"/>
      <c r="Q19" s="176"/>
      <c r="R19" s="176"/>
      <c r="S19" s="176"/>
    </row>
    <row r="20" spans="1:19" x14ac:dyDescent="0.2">
      <c r="A20" s="176"/>
      <c r="B20" s="176"/>
      <c r="C20" s="176"/>
      <c r="D20" s="176"/>
      <c r="E20" s="176"/>
      <c r="F20" s="176"/>
      <c r="G20" s="176"/>
      <c r="H20" s="176"/>
      <c r="I20" s="176"/>
      <c r="J20" s="176"/>
      <c r="K20" s="176"/>
      <c r="L20" s="176"/>
      <c r="M20" s="176"/>
      <c r="N20" s="176"/>
      <c r="O20" s="176"/>
      <c r="P20" s="176"/>
      <c r="Q20" s="176"/>
      <c r="R20" s="176"/>
      <c r="S20" s="176"/>
    </row>
    <row r="21" spans="1:19" x14ac:dyDescent="0.2">
      <c r="A21" s="176"/>
      <c r="B21" s="176"/>
      <c r="C21" s="176"/>
      <c r="D21" s="176"/>
      <c r="E21" s="176"/>
      <c r="F21" s="176"/>
      <c r="G21" s="176"/>
      <c r="H21" s="176"/>
      <c r="I21" s="176"/>
      <c r="J21" s="176"/>
      <c r="K21" s="176"/>
      <c r="L21" s="176"/>
      <c r="M21" s="176"/>
      <c r="N21" s="176"/>
      <c r="O21" s="176"/>
      <c r="P21" s="176"/>
      <c r="Q21" s="176"/>
      <c r="R21" s="176"/>
      <c r="S21" s="176"/>
    </row>
    <row r="22" spans="1:19" x14ac:dyDescent="0.2">
      <c r="A22" s="176"/>
      <c r="B22" s="176"/>
      <c r="C22" s="176"/>
      <c r="D22" s="176"/>
      <c r="E22" s="176"/>
      <c r="F22" s="176"/>
      <c r="G22" s="176"/>
      <c r="H22" s="176"/>
      <c r="I22" s="176"/>
      <c r="J22" s="176"/>
      <c r="K22" s="176"/>
      <c r="L22" s="176"/>
      <c r="M22" s="176"/>
      <c r="N22" s="176"/>
      <c r="O22" s="176"/>
      <c r="P22" s="176"/>
      <c r="Q22" s="176"/>
      <c r="R22" s="176"/>
      <c r="S22" s="176"/>
    </row>
    <row r="23" spans="1:19" x14ac:dyDescent="0.2">
      <c r="A23" s="176"/>
      <c r="B23" s="176"/>
      <c r="C23" s="176"/>
      <c r="D23" s="176"/>
      <c r="E23" s="176"/>
      <c r="F23" s="176"/>
      <c r="G23" s="176"/>
      <c r="H23" s="176"/>
      <c r="I23" s="176"/>
      <c r="J23" s="176"/>
      <c r="K23" s="176"/>
      <c r="L23" s="176"/>
      <c r="M23" s="176"/>
      <c r="N23" s="176"/>
      <c r="O23" s="176"/>
      <c r="P23" s="176"/>
      <c r="Q23" s="176"/>
      <c r="R23" s="176"/>
      <c r="S23" s="176"/>
    </row>
    <row r="24" spans="1:19" x14ac:dyDescent="0.2">
      <c r="A24" s="176"/>
      <c r="B24" s="176"/>
      <c r="C24" s="176"/>
      <c r="D24" s="176"/>
      <c r="E24" s="176"/>
      <c r="F24" s="176"/>
      <c r="G24" s="176"/>
      <c r="H24" s="176"/>
      <c r="I24" s="176"/>
      <c r="J24" s="176"/>
      <c r="K24" s="176"/>
      <c r="L24" s="176"/>
      <c r="M24" s="176"/>
      <c r="N24" s="176"/>
      <c r="O24" s="176"/>
      <c r="P24" s="176"/>
      <c r="Q24" s="176"/>
      <c r="R24" s="176"/>
      <c r="S24" s="176"/>
    </row>
    <row r="25" spans="1:19" x14ac:dyDescent="0.2">
      <c r="A25" s="176"/>
      <c r="B25" s="176"/>
      <c r="C25" s="176"/>
      <c r="D25" s="176"/>
      <c r="E25" s="176"/>
      <c r="F25" s="176"/>
      <c r="G25" s="176"/>
      <c r="H25" s="176"/>
      <c r="I25" s="176"/>
      <c r="J25" s="176"/>
      <c r="K25" s="176"/>
      <c r="L25" s="176"/>
      <c r="M25" s="176"/>
      <c r="N25" s="176"/>
      <c r="O25" s="176"/>
      <c r="P25" s="176"/>
      <c r="Q25" s="176"/>
      <c r="R25" s="176"/>
      <c r="S25" s="176"/>
    </row>
    <row r="26" spans="1:19" x14ac:dyDescent="0.2">
      <c r="A26" s="176"/>
      <c r="B26" s="176"/>
      <c r="C26" s="176"/>
      <c r="D26" s="176"/>
      <c r="E26" s="176"/>
      <c r="F26" s="176"/>
      <c r="G26" s="176"/>
      <c r="H26" s="176"/>
      <c r="I26" s="176"/>
      <c r="J26" s="176"/>
      <c r="K26" s="176"/>
      <c r="L26" s="176"/>
      <c r="M26" s="176"/>
      <c r="N26" s="176"/>
      <c r="O26" s="176"/>
      <c r="P26" s="176"/>
      <c r="Q26" s="176"/>
      <c r="R26" s="176"/>
      <c r="S26" s="176"/>
    </row>
    <row r="27" spans="1:19" x14ac:dyDescent="0.2">
      <c r="A27" s="176"/>
      <c r="B27" s="176"/>
      <c r="C27" s="176"/>
      <c r="D27" s="176"/>
      <c r="E27" s="176"/>
      <c r="F27" s="176"/>
      <c r="G27" s="176"/>
      <c r="H27" s="176"/>
      <c r="I27" s="176"/>
      <c r="J27" s="176"/>
      <c r="K27" s="176"/>
      <c r="L27" s="176"/>
      <c r="M27" s="176"/>
      <c r="N27" s="176"/>
      <c r="O27" s="176"/>
      <c r="P27" s="176"/>
      <c r="Q27" s="176"/>
      <c r="R27" s="176"/>
      <c r="S27" s="176"/>
    </row>
    <row r="28" spans="1:19" x14ac:dyDescent="0.2">
      <c r="A28" s="176"/>
      <c r="B28" s="176"/>
      <c r="C28" s="176"/>
      <c r="D28" s="176"/>
      <c r="E28" s="176"/>
      <c r="F28" s="176"/>
      <c r="G28" s="176"/>
      <c r="H28" s="176"/>
      <c r="I28" s="176"/>
      <c r="J28" s="176"/>
      <c r="K28" s="176"/>
      <c r="L28" s="176"/>
      <c r="M28" s="176"/>
      <c r="N28" s="176"/>
      <c r="O28" s="176"/>
      <c r="P28" s="176"/>
      <c r="Q28" s="176"/>
      <c r="R28" s="176"/>
      <c r="S28" s="176"/>
    </row>
    <row r="29" spans="1:19" x14ac:dyDescent="0.2">
      <c r="A29" s="176"/>
      <c r="B29" s="176"/>
      <c r="C29" s="176"/>
      <c r="D29" s="176"/>
      <c r="E29" s="176"/>
      <c r="F29" s="176"/>
      <c r="G29" s="176"/>
      <c r="H29" s="176"/>
      <c r="I29" s="176"/>
      <c r="J29" s="176"/>
      <c r="K29" s="176"/>
      <c r="L29" s="176"/>
      <c r="M29" s="176"/>
      <c r="N29" s="176"/>
      <c r="O29" s="176"/>
      <c r="P29" s="176"/>
      <c r="Q29" s="176"/>
      <c r="R29" s="176"/>
      <c r="S29" s="176"/>
    </row>
    <row r="30" spans="1:19" x14ac:dyDescent="0.2">
      <c r="A30" s="176"/>
      <c r="B30" s="176"/>
      <c r="C30" s="176"/>
      <c r="D30" s="176"/>
      <c r="E30" s="176"/>
      <c r="F30" s="176"/>
      <c r="G30" s="176"/>
      <c r="H30" s="176"/>
      <c r="I30" s="176"/>
      <c r="J30" s="176"/>
      <c r="K30" s="176"/>
      <c r="L30" s="176"/>
      <c r="M30" s="176"/>
      <c r="N30" s="176"/>
      <c r="O30" s="176"/>
      <c r="P30" s="176"/>
      <c r="Q30" s="176"/>
      <c r="R30" s="176"/>
      <c r="S30" s="176"/>
    </row>
    <row r="31" spans="1:19" x14ac:dyDescent="0.2">
      <c r="A31" s="176"/>
      <c r="B31" s="176"/>
      <c r="C31" s="176"/>
      <c r="D31" s="176"/>
      <c r="E31" s="176"/>
      <c r="F31" s="176"/>
      <c r="G31" s="176"/>
      <c r="H31" s="176"/>
      <c r="I31" s="176"/>
      <c r="J31" s="176"/>
      <c r="K31" s="176"/>
      <c r="L31" s="176"/>
      <c r="M31" s="176"/>
      <c r="N31" s="176"/>
      <c r="O31" s="176"/>
      <c r="P31" s="176"/>
      <c r="Q31" s="176"/>
      <c r="R31" s="176"/>
      <c r="S31" s="176"/>
    </row>
    <row r="32" spans="1:19" x14ac:dyDescent="0.2">
      <c r="A32" s="176"/>
      <c r="B32" s="176"/>
      <c r="C32" s="176"/>
      <c r="D32" s="176"/>
      <c r="E32" s="176"/>
      <c r="F32" s="176"/>
      <c r="G32" s="176"/>
      <c r="H32" s="176"/>
      <c r="I32" s="176"/>
      <c r="J32" s="176"/>
      <c r="K32" s="176"/>
      <c r="L32" s="176"/>
      <c r="M32" s="176"/>
      <c r="N32" s="176"/>
      <c r="O32" s="176"/>
      <c r="P32" s="176"/>
      <c r="Q32" s="176"/>
      <c r="R32" s="176"/>
      <c r="S32" s="176"/>
    </row>
    <row r="33" spans="1:19" x14ac:dyDescent="0.2">
      <c r="A33" s="176"/>
      <c r="B33" s="176"/>
      <c r="C33" s="176"/>
      <c r="D33" s="176"/>
      <c r="E33" s="176"/>
      <c r="F33" s="176"/>
      <c r="G33" s="176"/>
      <c r="H33" s="176"/>
      <c r="I33" s="176"/>
      <c r="J33" s="176"/>
      <c r="K33" s="176"/>
      <c r="L33" s="176"/>
      <c r="M33" s="176"/>
      <c r="N33" s="176"/>
      <c r="O33" s="176"/>
      <c r="P33" s="176"/>
      <c r="Q33" s="176"/>
      <c r="R33" s="176"/>
      <c r="S33" s="176"/>
    </row>
    <row r="34" spans="1:19" ht="14.25" customHeight="1" x14ac:dyDescent="0.2">
      <c r="A34" s="176"/>
      <c r="B34" s="176"/>
      <c r="C34" s="176"/>
      <c r="D34" s="176"/>
      <c r="E34" s="176"/>
      <c r="F34" s="176"/>
      <c r="G34" s="176"/>
      <c r="H34" s="176"/>
      <c r="I34" s="176"/>
      <c r="J34" s="176"/>
      <c r="K34" s="176"/>
      <c r="L34" s="176"/>
      <c r="M34" s="176"/>
      <c r="N34" s="176"/>
      <c r="O34" s="176"/>
      <c r="P34" s="176"/>
      <c r="Q34" s="176"/>
      <c r="R34" s="176"/>
      <c r="S34" s="176"/>
    </row>
    <row r="35" spans="1:19" x14ac:dyDescent="0.2">
      <c r="A35" s="176"/>
      <c r="B35" s="176"/>
      <c r="C35" s="176"/>
      <c r="D35" s="176"/>
      <c r="E35" s="176"/>
      <c r="F35" s="176"/>
      <c r="G35" s="176"/>
      <c r="H35" s="176"/>
      <c r="I35" s="176"/>
      <c r="J35" s="176"/>
      <c r="K35" s="176"/>
      <c r="L35" s="176"/>
      <c r="M35" s="176"/>
      <c r="N35" s="176"/>
      <c r="O35" s="176"/>
      <c r="P35" s="176"/>
      <c r="Q35" s="176"/>
      <c r="R35" s="176"/>
      <c r="S35" s="176"/>
    </row>
    <row r="36" spans="1:19" ht="18" x14ac:dyDescent="0.25">
      <c r="A36" s="642"/>
      <c r="B36" s="642"/>
      <c r="C36" s="642"/>
      <c r="D36" s="642"/>
      <c r="E36" s="642"/>
      <c r="F36" s="642"/>
      <c r="G36" s="642"/>
      <c r="H36" s="642"/>
      <c r="I36" s="642"/>
      <c r="J36" s="642"/>
      <c r="K36" s="642"/>
      <c r="L36" s="642"/>
      <c r="M36" s="642"/>
      <c r="N36" s="642"/>
      <c r="O36" s="642"/>
      <c r="P36" s="642"/>
      <c r="Q36" s="642"/>
      <c r="R36" s="300"/>
      <c r="S36" s="176"/>
    </row>
    <row r="37" spans="1:19" x14ac:dyDescent="0.2">
      <c r="R37" s="176"/>
      <c r="S37" s="176"/>
    </row>
    <row r="38" spans="1:19" x14ac:dyDescent="0.2">
      <c r="R38" s="176"/>
      <c r="S38" s="176"/>
    </row>
    <row r="39" spans="1:19" x14ac:dyDescent="0.2">
      <c r="R39" s="176"/>
      <c r="S39" s="176"/>
    </row>
    <row r="40" spans="1:19" x14ac:dyDescent="0.2">
      <c r="R40" s="176"/>
      <c r="S40" s="176"/>
    </row>
    <row r="41" spans="1:19" x14ac:dyDescent="0.2">
      <c r="R41" s="176"/>
      <c r="S41" s="176"/>
    </row>
    <row r="42" spans="1:19" x14ac:dyDescent="0.2">
      <c r="R42" s="176"/>
      <c r="S42" s="176"/>
    </row>
    <row r="43" spans="1:19" x14ac:dyDescent="0.2">
      <c r="R43" s="176"/>
      <c r="S43" s="176"/>
    </row>
    <row r="44" spans="1:19" x14ac:dyDescent="0.2">
      <c r="R44" s="176"/>
      <c r="S44" s="176"/>
    </row>
    <row r="45" spans="1:19" x14ac:dyDescent="0.2">
      <c r="R45" s="176"/>
      <c r="S45" s="176"/>
    </row>
    <row r="46" spans="1:19" x14ac:dyDescent="0.2">
      <c r="R46" s="176"/>
      <c r="S46" s="176"/>
    </row>
    <row r="47" spans="1:19" x14ac:dyDescent="0.2">
      <c r="R47" s="176"/>
      <c r="S47" s="176"/>
    </row>
    <row r="48" spans="1:19" x14ac:dyDescent="0.2">
      <c r="R48" s="176"/>
      <c r="S48" s="176"/>
    </row>
    <row r="49" spans="18:19" x14ac:dyDescent="0.2">
      <c r="R49" s="176"/>
      <c r="S49" s="176"/>
    </row>
    <row r="50" spans="18:19" x14ac:dyDescent="0.2">
      <c r="R50" s="176"/>
      <c r="S50" s="176"/>
    </row>
    <row r="51" spans="18:19" x14ac:dyDescent="0.2">
      <c r="R51" s="176"/>
      <c r="S51" s="176"/>
    </row>
    <row r="52" spans="18:19" x14ac:dyDescent="0.2">
      <c r="R52" s="176"/>
      <c r="S52" s="176"/>
    </row>
    <row r="53" spans="18:19" x14ac:dyDescent="0.2">
      <c r="R53" s="176"/>
      <c r="S53" s="176"/>
    </row>
    <row r="54" spans="18:19" x14ac:dyDescent="0.2">
      <c r="R54" s="176"/>
      <c r="S54" s="176"/>
    </row>
    <row r="55" spans="18:19" x14ac:dyDescent="0.2">
      <c r="R55" s="176"/>
      <c r="S55" s="176"/>
    </row>
    <row r="56" spans="18:19" x14ac:dyDescent="0.2">
      <c r="R56" s="176"/>
      <c r="S56" s="176"/>
    </row>
    <row r="57" spans="18:19" x14ac:dyDescent="0.2">
      <c r="R57" s="176"/>
      <c r="S57" s="176"/>
    </row>
    <row r="58" spans="18:19" x14ac:dyDescent="0.2">
      <c r="R58" s="176"/>
      <c r="S58" s="176"/>
    </row>
    <row r="59" spans="18:19" x14ac:dyDescent="0.2">
      <c r="R59" s="176"/>
      <c r="S59" s="176"/>
    </row>
    <row r="60" spans="18:19" x14ac:dyDescent="0.2">
      <c r="R60" s="176"/>
      <c r="S60" s="176"/>
    </row>
    <row r="61" spans="18:19" x14ac:dyDescent="0.2">
      <c r="R61" s="176"/>
      <c r="S61" s="176"/>
    </row>
    <row r="62" spans="18:19" x14ac:dyDescent="0.2">
      <c r="R62" s="176"/>
      <c r="S62" s="176"/>
    </row>
    <row r="63" spans="18:19" x14ac:dyDescent="0.2">
      <c r="R63" s="176"/>
      <c r="S63" s="176"/>
    </row>
    <row r="64" spans="18:19" x14ac:dyDescent="0.2">
      <c r="R64" s="176"/>
      <c r="S64" s="176"/>
    </row>
    <row r="65" spans="18:19" x14ac:dyDescent="0.2">
      <c r="R65" s="176"/>
      <c r="S65" s="176"/>
    </row>
    <row r="66" spans="18:19" x14ac:dyDescent="0.2">
      <c r="R66" s="176"/>
      <c r="S66" s="176"/>
    </row>
    <row r="67" spans="18:19" x14ac:dyDescent="0.2">
      <c r="R67" s="176"/>
      <c r="S67" s="176"/>
    </row>
    <row r="68" spans="18:19" x14ac:dyDescent="0.2">
      <c r="R68" s="176"/>
      <c r="S68" s="176"/>
    </row>
    <row r="69" spans="18:19" ht="18" customHeight="1" x14ac:dyDescent="0.25">
      <c r="R69" s="300"/>
      <c r="S69" s="176"/>
    </row>
    <row r="70" spans="18:19" x14ac:dyDescent="0.2">
      <c r="R70" s="176"/>
      <c r="S70" s="176"/>
    </row>
    <row r="71" spans="18:19" x14ac:dyDescent="0.2">
      <c r="R71" s="176"/>
      <c r="S71" s="176"/>
    </row>
    <row r="72" spans="18:19" ht="47.25" customHeight="1" x14ac:dyDescent="0.2">
      <c r="R72" s="176"/>
      <c r="S72" s="176"/>
    </row>
    <row r="73" spans="18:19" ht="18.75" customHeight="1" x14ac:dyDescent="0.2">
      <c r="R73" s="176"/>
      <c r="S73" s="176"/>
    </row>
    <row r="74" spans="18:19" x14ac:dyDescent="0.2">
      <c r="R74" s="176"/>
      <c r="S74" s="176"/>
    </row>
    <row r="75" spans="18:19" x14ac:dyDescent="0.2">
      <c r="R75" s="176"/>
      <c r="S75" s="176"/>
    </row>
    <row r="76" spans="18:19" x14ac:dyDescent="0.2">
      <c r="R76" s="176"/>
      <c r="S76" s="176"/>
    </row>
    <row r="77" spans="18:19" x14ac:dyDescent="0.2">
      <c r="R77" s="176"/>
      <c r="S77" s="176"/>
    </row>
    <row r="78" spans="18:19" x14ac:dyDescent="0.2">
      <c r="R78" s="176"/>
      <c r="S78" s="176"/>
    </row>
    <row r="79" spans="18:19" x14ac:dyDescent="0.2">
      <c r="R79" s="176"/>
      <c r="S79" s="176"/>
    </row>
    <row r="80" spans="18:19" x14ac:dyDescent="0.2">
      <c r="R80" s="176"/>
      <c r="S80" s="176"/>
    </row>
    <row r="81" spans="18:19" x14ac:dyDescent="0.2">
      <c r="R81" s="176"/>
      <c r="S81" s="176"/>
    </row>
    <row r="82" spans="18:19" x14ac:dyDescent="0.2">
      <c r="R82" s="176"/>
      <c r="S82" s="176"/>
    </row>
    <row r="83" spans="18:19" x14ac:dyDescent="0.2">
      <c r="R83" s="176"/>
      <c r="S83" s="176"/>
    </row>
    <row r="84" spans="18:19" x14ac:dyDescent="0.2">
      <c r="R84" s="176"/>
      <c r="S84" s="176"/>
    </row>
    <row r="85" spans="18:19" x14ac:dyDescent="0.2">
      <c r="R85" s="176"/>
      <c r="S85" s="176"/>
    </row>
    <row r="86" spans="18:19" x14ac:dyDescent="0.2">
      <c r="R86" s="176"/>
      <c r="S86" s="176"/>
    </row>
    <row r="87" spans="18:19" x14ac:dyDescent="0.2">
      <c r="R87" s="176"/>
      <c r="S87" s="176"/>
    </row>
    <row r="88" spans="18:19" x14ac:dyDescent="0.2">
      <c r="R88" s="176"/>
      <c r="S88" s="176"/>
    </row>
    <row r="89" spans="18:19" x14ac:dyDescent="0.2">
      <c r="R89" s="176"/>
      <c r="S89" s="176"/>
    </row>
    <row r="90" spans="18:19" x14ac:dyDescent="0.2">
      <c r="R90" s="176"/>
      <c r="S90" s="176"/>
    </row>
    <row r="91" spans="18:19" x14ac:dyDescent="0.2">
      <c r="R91" s="176"/>
      <c r="S91" s="176"/>
    </row>
    <row r="92" spans="18:19" x14ac:dyDescent="0.2">
      <c r="R92" s="176"/>
      <c r="S92" s="176"/>
    </row>
    <row r="93" spans="18:19" x14ac:dyDescent="0.2">
      <c r="R93" s="176"/>
      <c r="S93" s="176"/>
    </row>
    <row r="94" spans="18:19" x14ac:dyDescent="0.2">
      <c r="R94" s="176"/>
      <c r="S94" s="176"/>
    </row>
    <row r="95" spans="18:19" x14ac:dyDescent="0.2">
      <c r="R95" s="176"/>
      <c r="S95" s="176"/>
    </row>
    <row r="96" spans="18:19" x14ac:dyDescent="0.2">
      <c r="R96" s="176"/>
      <c r="S96" s="176"/>
    </row>
    <row r="97" spans="18:19" x14ac:dyDescent="0.2">
      <c r="R97" s="176"/>
      <c r="S97" s="176"/>
    </row>
    <row r="98" spans="18:19" x14ac:dyDescent="0.2">
      <c r="R98" s="176"/>
      <c r="S98" s="176"/>
    </row>
    <row r="99" spans="18:19" x14ac:dyDescent="0.2">
      <c r="R99" s="176"/>
      <c r="S99" s="176"/>
    </row>
    <row r="100" spans="18:19" x14ac:dyDescent="0.2">
      <c r="R100" s="176"/>
      <c r="S100" s="176"/>
    </row>
    <row r="101" spans="18:19" x14ac:dyDescent="0.2">
      <c r="R101" s="176"/>
      <c r="S101" s="176"/>
    </row>
    <row r="102" spans="18:19" x14ac:dyDescent="0.2">
      <c r="R102" s="176"/>
      <c r="S102" s="176"/>
    </row>
    <row r="103" spans="18:19" x14ac:dyDescent="0.2">
      <c r="R103" s="122"/>
      <c r="S103" s="122"/>
    </row>
    <row r="104" spans="18:19" x14ac:dyDescent="0.2">
      <c r="R104" s="122"/>
      <c r="S104" s="122"/>
    </row>
    <row r="105" spans="18:19" x14ac:dyDescent="0.2">
      <c r="R105" s="122"/>
      <c r="S105" s="122"/>
    </row>
    <row r="106" spans="18:19" x14ac:dyDescent="0.2">
      <c r="R106" s="122"/>
      <c r="S106" s="122"/>
    </row>
    <row r="107" spans="18:19" x14ac:dyDescent="0.2">
      <c r="R107" s="122"/>
      <c r="S107" s="122"/>
    </row>
  </sheetData>
  <sheetProtection password="C62D" sheet="1" scenarios="1" selectLockedCells="1" selectUnlockedCells="1"/>
  <mergeCells count="2">
    <mergeCell ref="A1:S1"/>
    <mergeCell ref="A36:Q36"/>
  </mergeCells>
  <pageMargins left="0.11811023622047245" right="0.11811023622047245" top="0.60416666666666663" bottom="0.19685039370078741" header="0.31496062992125984" footer="0.31496062992125984"/>
  <pageSetup paperSize="9" orientation="landscape" r:id="rId1"/>
  <headerFooter>
    <oddHeader>&amp;CКГБУ "Региональный центр оценки качества образования"</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8"/>
  <sheetViews>
    <sheetView view="pageLayout" zoomScaleNormal="100" workbookViewId="0">
      <selection activeCell="N35" sqref="N35"/>
    </sheetView>
  </sheetViews>
  <sheetFormatPr defaultRowHeight="12.75" x14ac:dyDescent="0.2"/>
  <cols>
    <col min="1" max="1" width="17.28515625" customWidth="1"/>
    <col min="2" max="2" width="18" customWidth="1"/>
    <col min="3" max="3" width="9.140625" hidden="1" customWidth="1"/>
    <col min="4" max="4" width="12.7109375" hidden="1" customWidth="1"/>
    <col min="5" max="5" width="17.42578125" customWidth="1"/>
    <col min="6" max="6" width="1.7109375" hidden="1" customWidth="1"/>
    <col min="7" max="7" width="16.85546875" customWidth="1"/>
    <col min="8" max="8" width="12.28515625" hidden="1" customWidth="1"/>
    <col min="9" max="9" width="14" customWidth="1"/>
    <col min="10" max="10" width="15.28515625" hidden="1" customWidth="1"/>
    <col min="11" max="11" width="19.140625" customWidth="1"/>
  </cols>
  <sheetData>
    <row r="1" spans="1:16" ht="20.25" customHeight="1" x14ac:dyDescent="0.25">
      <c r="A1" s="645" t="str">
        <f>Базовый_Уч!B1</f>
        <v>Результаты выполнения  работы по математике (10 класс, начало 2013/2014)</v>
      </c>
      <c r="B1" s="645"/>
      <c r="C1" s="645"/>
      <c r="D1" s="645"/>
      <c r="E1" s="645"/>
      <c r="F1" s="645"/>
      <c r="G1" s="645"/>
      <c r="H1" s="645"/>
      <c r="I1" s="645"/>
      <c r="J1" s="645"/>
      <c r="K1" s="645"/>
      <c r="L1" s="645"/>
      <c r="M1" s="645"/>
      <c r="N1" s="645"/>
      <c r="O1" s="195"/>
      <c r="P1" s="195"/>
    </row>
    <row r="2" spans="1:16" ht="3.75" customHeight="1" x14ac:dyDescent="0.2">
      <c r="A2" s="232"/>
      <c r="B2" s="232"/>
      <c r="C2" s="232"/>
      <c r="D2" s="232"/>
      <c r="E2" s="232"/>
      <c r="F2" s="232"/>
      <c r="G2" s="232"/>
      <c r="H2" s="232"/>
      <c r="I2" s="232"/>
      <c r="J2" s="232"/>
      <c r="K2" s="232"/>
      <c r="L2" s="232"/>
      <c r="M2" s="232"/>
      <c r="N2" s="232"/>
      <c r="O2" s="196"/>
      <c r="P2" s="196"/>
    </row>
    <row r="3" spans="1:16" ht="32.25" customHeight="1" x14ac:dyDescent="0.2">
      <c r="A3" s="233" t="s">
        <v>90</v>
      </c>
      <c r="B3" s="644">
        <f>'СПИСОК КЛАССА'!E3</f>
        <v>0</v>
      </c>
      <c r="C3" s="644"/>
      <c r="D3" s="644"/>
      <c r="E3" s="644"/>
      <c r="F3" s="644"/>
      <c r="G3" s="644"/>
      <c r="H3" s="644"/>
      <c r="I3" s="644"/>
      <c r="J3" s="644"/>
      <c r="K3" s="644"/>
      <c r="L3" s="237" t="s">
        <v>91</v>
      </c>
      <c r="M3" s="238" t="str">
        <f>'СПИСОК КЛАССА'!J1</f>
        <v>1001</v>
      </c>
      <c r="N3" s="122"/>
    </row>
    <row r="4" spans="1:16" ht="6.75" customHeight="1" x14ac:dyDescent="0.2">
      <c r="A4" s="122"/>
      <c r="B4" s="122"/>
      <c r="C4" s="122"/>
      <c r="D4" s="122"/>
      <c r="E4" s="122"/>
      <c r="F4" s="122"/>
      <c r="G4" s="122"/>
      <c r="H4" s="122"/>
      <c r="I4" s="122"/>
      <c r="J4" s="122"/>
      <c r="K4" s="122"/>
      <c r="L4" s="122"/>
      <c r="M4" s="122"/>
      <c r="N4" s="122"/>
    </row>
    <row r="5" spans="1:16" ht="15.75" x14ac:dyDescent="0.25">
      <c r="A5" s="643" t="s">
        <v>131</v>
      </c>
      <c r="B5" s="643"/>
      <c r="C5" s="643"/>
      <c r="D5" s="643"/>
      <c r="E5" s="643"/>
      <c r="F5" s="643"/>
      <c r="G5" s="177">
        <f>'Ответы учащихся'!E7</f>
        <v>34</v>
      </c>
      <c r="H5" s="228"/>
      <c r="I5" s="175" t="s">
        <v>84</v>
      </c>
      <c r="J5" s="175"/>
      <c r="K5" s="122"/>
      <c r="L5" s="122"/>
      <c r="M5" s="122"/>
      <c r="N5" s="122"/>
    </row>
    <row r="6" spans="1:16" ht="36.75" customHeight="1" x14ac:dyDescent="0.25">
      <c r="A6" s="179" t="s">
        <v>87</v>
      </c>
      <c r="B6" s="179" t="s">
        <v>162</v>
      </c>
      <c r="C6" s="183"/>
      <c r="D6" s="234"/>
      <c r="E6" s="179" t="s">
        <v>234</v>
      </c>
      <c r="F6" s="234"/>
      <c r="G6" s="179" t="s">
        <v>278</v>
      </c>
      <c r="H6" s="234"/>
      <c r="I6" s="179" t="s">
        <v>83</v>
      </c>
      <c r="J6" s="234"/>
      <c r="K6" s="179" t="s">
        <v>93</v>
      </c>
      <c r="L6" s="122"/>
      <c r="M6" s="122"/>
      <c r="N6" s="122"/>
    </row>
    <row r="7" spans="1:16" ht="17.25" customHeight="1" x14ac:dyDescent="0.25">
      <c r="A7" s="180" t="s">
        <v>163</v>
      </c>
      <c r="B7" s="180">
        <v>2</v>
      </c>
      <c r="C7" s="184" t="e">
        <f>Результаты_Класс!#REF!</f>
        <v>#REF!</v>
      </c>
      <c r="D7" s="181" t="e">
        <f>Результаты_Класс!#REF!</f>
        <v>#REF!</v>
      </c>
      <c r="E7" s="185">
        <f>Результаты_Класс!Y13/G5*100</f>
        <v>29.411764705882355</v>
      </c>
      <c r="F7" s="181" t="e">
        <f>Результаты_Класс!#REF!</f>
        <v>#REF!</v>
      </c>
      <c r="G7" s="185">
        <f>(Результаты_Класс!Y14+Результаты_Класс!Y15+Результаты_Класс!Y16+Результаты_Класс!Y17)/Пов_З!G5*100</f>
        <v>47.058823529411761</v>
      </c>
      <c r="H7" s="182" t="e">
        <f>Результаты_Класс!#REF!</f>
        <v>#REF!</v>
      </c>
      <c r="I7" s="185">
        <f>Результаты_Класс!Y18/G5*100</f>
        <v>0</v>
      </c>
      <c r="J7" s="182" t="e">
        <f>Результаты_Класс!#REF!</f>
        <v>#REF!</v>
      </c>
      <c r="K7" s="185">
        <f>Результаты_Класс!Y19/Пов_З!G5*100</f>
        <v>23.52941176470588</v>
      </c>
      <c r="L7" s="122"/>
      <c r="M7" s="122"/>
      <c r="N7" s="122"/>
    </row>
    <row r="8" spans="1:16" x14ac:dyDescent="0.2">
      <c r="A8" s="122"/>
      <c r="B8" s="122"/>
      <c r="C8" s="122"/>
      <c r="D8" s="122"/>
      <c r="E8" s="122"/>
      <c r="F8" s="235"/>
      <c r="G8" s="122"/>
      <c r="H8" s="122"/>
      <c r="I8" s="122"/>
      <c r="J8" s="122"/>
      <c r="K8" s="122"/>
      <c r="L8" s="122"/>
      <c r="M8" s="122"/>
      <c r="N8" s="122"/>
    </row>
    <row r="9" spans="1:16" x14ac:dyDescent="0.2">
      <c r="A9" s="122"/>
      <c r="B9" s="122"/>
      <c r="C9" s="122"/>
      <c r="D9" s="122"/>
      <c r="E9" s="122"/>
      <c r="F9" s="122"/>
      <c r="G9" s="122"/>
      <c r="H9" s="122"/>
      <c r="I9" s="122"/>
      <c r="J9" s="122"/>
      <c r="K9" s="122"/>
      <c r="L9" s="122"/>
      <c r="M9" s="122"/>
      <c r="N9" s="122"/>
    </row>
    <row r="10" spans="1:16" x14ac:dyDescent="0.2">
      <c r="A10" s="122"/>
      <c r="B10" s="122"/>
      <c r="C10" s="122"/>
      <c r="D10" s="122"/>
      <c r="E10" s="122"/>
      <c r="F10" s="122"/>
      <c r="G10" s="122"/>
      <c r="H10" s="122"/>
      <c r="I10" s="122"/>
      <c r="J10" s="122"/>
      <c r="K10" s="122"/>
      <c r="L10" s="122"/>
      <c r="M10" s="122"/>
      <c r="N10" s="122"/>
    </row>
    <row r="11" spans="1:16" x14ac:dyDescent="0.2">
      <c r="A11" s="122"/>
      <c r="B11" s="122"/>
      <c r="C11" s="122"/>
      <c r="D11" s="122"/>
      <c r="E11" s="122"/>
      <c r="F11" s="122"/>
      <c r="G11" s="122"/>
      <c r="H11" s="122"/>
      <c r="I11" s="122"/>
      <c r="J11" s="122"/>
      <c r="K11" s="122"/>
      <c r="L11" s="122"/>
      <c r="M11" s="122"/>
      <c r="N11" s="122"/>
    </row>
    <row r="12" spans="1:16" x14ac:dyDescent="0.2">
      <c r="A12" s="122"/>
      <c r="B12" s="122"/>
      <c r="C12" s="122"/>
      <c r="D12" s="122"/>
      <c r="E12" s="122"/>
      <c r="F12" s="122"/>
      <c r="G12" s="122"/>
      <c r="H12" s="122"/>
      <c r="I12" s="122"/>
      <c r="J12" s="122"/>
      <c r="K12" s="122"/>
      <c r="L12" s="122"/>
      <c r="M12" s="122"/>
      <c r="N12" s="122"/>
    </row>
    <row r="13" spans="1:16" x14ac:dyDescent="0.2">
      <c r="A13" s="122"/>
      <c r="B13" s="122"/>
      <c r="C13" s="122"/>
      <c r="D13" s="122"/>
      <c r="E13" s="122"/>
      <c r="F13" s="122"/>
      <c r="G13" s="122"/>
      <c r="H13" s="122"/>
      <c r="I13" s="122"/>
      <c r="J13" s="122"/>
      <c r="K13" s="122"/>
      <c r="L13" s="122"/>
      <c r="M13" s="122"/>
      <c r="N13" s="122"/>
    </row>
    <row r="14" spans="1:16" x14ac:dyDescent="0.2">
      <c r="A14" s="122"/>
      <c r="B14" s="122"/>
      <c r="C14" s="122"/>
      <c r="D14" s="122"/>
      <c r="E14" s="122"/>
      <c r="F14" s="122"/>
      <c r="G14" s="122"/>
      <c r="H14" s="122"/>
      <c r="I14" s="122"/>
      <c r="J14" s="122"/>
      <c r="K14" s="122"/>
      <c r="L14" s="122"/>
      <c r="M14" s="122"/>
      <c r="N14" s="122"/>
    </row>
    <row r="15" spans="1:16" x14ac:dyDescent="0.2">
      <c r="A15" s="122"/>
      <c r="B15" s="122"/>
      <c r="C15" s="122"/>
      <c r="D15" s="122"/>
      <c r="E15" s="122"/>
      <c r="F15" s="122"/>
      <c r="G15" s="122"/>
      <c r="H15" s="122"/>
      <c r="I15" s="122"/>
      <c r="J15" s="122"/>
      <c r="K15" s="122"/>
      <c r="L15" s="122"/>
      <c r="M15" s="122"/>
      <c r="N15" s="122"/>
    </row>
    <row r="16" spans="1:16" x14ac:dyDescent="0.2">
      <c r="A16" s="122"/>
      <c r="B16" s="122"/>
      <c r="C16" s="122"/>
      <c r="D16" s="122"/>
      <c r="E16" s="122"/>
      <c r="F16" s="122"/>
      <c r="G16" s="122"/>
      <c r="H16" s="122"/>
      <c r="I16" s="122"/>
      <c r="J16" s="122"/>
      <c r="K16" s="122"/>
      <c r="L16" s="122"/>
      <c r="M16" s="122"/>
      <c r="N16" s="122"/>
    </row>
    <row r="17" spans="1:14" x14ac:dyDescent="0.2">
      <c r="A17" s="122"/>
      <c r="B17" s="122"/>
      <c r="C17" s="122"/>
      <c r="D17" s="122"/>
      <c r="E17" s="122"/>
      <c r="F17" s="122"/>
      <c r="G17" s="122"/>
      <c r="H17" s="122"/>
      <c r="I17" s="122"/>
      <c r="J17" s="122"/>
      <c r="K17" s="122"/>
      <c r="L17" s="122"/>
      <c r="M17" s="122"/>
      <c r="N17" s="122"/>
    </row>
    <row r="18" spans="1:14" x14ac:dyDescent="0.2">
      <c r="A18" s="122"/>
      <c r="B18" s="122"/>
      <c r="C18" s="122"/>
      <c r="D18" s="122"/>
      <c r="E18" s="122"/>
      <c r="F18" s="122"/>
      <c r="G18" s="122"/>
      <c r="H18" s="122"/>
      <c r="I18" s="122"/>
      <c r="J18" s="122"/>
      <c r="K18" s="122"/>
      <c r="L18" s="122"/>
      <c r="M18" s="122"/>
      <c r="N18" s="122"/>
    </row>
    <row r="19" spans="1:14" x14ac:dyDescent="0.2">
      <c r="A19" s="122"/>
      <c r="B19" s="122"/>
      <c r="C19" s="122"/>
      <c r="D19" s="122"/>
      <c r="E19" s="122"/>
      <c r="F19" s="122"/>
      <c r="G19" s="122"/>
      <c r="H19" s="122"/>
      <c r="I19" s="122"/>
      <c r="J19" s="122"/>
      <c r="K19" s="122"/>
      <c r="L19" s="122"/>
      <c r="M19" s="122"/>
      <c r="N19" s="122"/>
    </row>
    <row r="20" spans="1:14" x14ac:dyDescent="0.2">
      <c r="A20" s="122"/>
      <c r="B20" s="122"/>
      <c r="C20" s="122"/>
      <c r="D20" s="122"/>
      <c r="E20" s="122"/>
      <c r="F20" s="122"/>
      <c r="G20" s="122"/>
      <c r="H20" s="122"/>
      <c r="I20" s="122"/>
      <c r="J20" s="122"/>
      <c r="K20" s="122"/>
      <c r="L20" s="122"/>
      <c r="M20" s="122"/>
      <c r="N20" s="122"/>
    </row>
    <row r="21" spans="1:14" x14ac:dyDescent="0.2">
      <c r="A21" s="122"/>
      <c r="B21" s="122"/>
      <c r="C21" s="122"/>
      <c r="D21" s="122"/>
      <c r="E21" s="122"/>
      <c r="F21" s="122"/>
      <c r="G21" s="122"/>
      <c r="H21" s="122"/>
      <c r="I21" s="122"/>
      <c r="J21" s="122"/>
      <c r="K21" s="122"/>
      <c r="L21" s="122"/>
      <c r="M21" s="122"/>
      <c r="N21" s="122"/>
    </row>
    <row r="22" spans="1:14" x14ac:dyDescent="0.2">
      <c r="A22" s="122"/>
      <c r="B22" s="122"/>
      <c r="C22" s="122"/>
      <c r="D22" s="122"/>
      <c r="E22" s="122"/>
      <c r="F22" s="122"/>
      <c r="G22" s="122"/>
      <c r="H22" s="122"/>
      <c r="I22" s="122"/>
      <c r="J22" s="122"/>
      <c r="K22" s="122"/>
      <c r="L22" s="122"/>
      <c r="M22" s="122"/>
      <c r="N22" s="122"/>
    </row>
    <row r="23" spans="1:14" x14ac:dyDescent="0.2">
      <c r="A23" s="122"/>
      <c r="B23" s="122"/>
      <c r="C23" s="122"/>
      <c r="D23" s="122"/>
      <c r="E23" s="122"/>
      <c r="F23" s="122"/>
      <c r="G23" s="122"/>
      <c r="H23" s="122"/>
      <c r="I23" s="122"/>
      <c r="J23" s="122"/>
      <c r="K23" s="122"/>
      <c r="L23" s="122"/>
      <c r="M23" s="122"/>
      <c r="N23" s="122"/>
    </row>
    <row r="24" spans="1:14" x14ac:dyDescent="0.2">
      <c r="A24" s="122"/>
      <c r="B24" s="122"/>
      <c r="C24" s="122"/>
      <c r="D24" s="122"/>
      <c r="E24" s="122"/>
      <c r="F24" s="122"/>
      <c r="G24" s="122"/>
      <c r="H24" s="122"/>
      <c r="I24" s="122"/>
      <c r="J24" s="122"/>
      <c r="K24" s="122"/>
      <c r="L24" s="122"/>
      <c r="M24" s="122"/>
      <c r="N24" s="122"/>
    </row>
    <row r="25" spans="1:14" x14ac:dyDescent="0.2">
      <c r="A25" s="122"/>
      <c r="B25" s="122"/>
      <c r="C25" s="122"/>
      <c r="D25" s="122"/>
      <c r="E25" s="122"/>
      <c r="F25" s="122"/>
      <c r="G25" s="122"/>
      <c r="H25" s="122"/>
      <c r="I25" s="122"/>
      <c r="J25" s="122"/>
      <c r="K25" s="122"/>
      <c r="L25" s="122"/>
      <c r="M25" s="122"/>
      <c r="N25" s="122"/>
    </row>
    <row r="26" spans="1:14" x14ac:dyDescent="0.2">
      <c r="A26" s="122"/>
      <c r="B26" s="122"/>
      <c r="C26" s="122"/>
      <c r="D26" s="122"/>
      <c r="E26" s="122"/>
      <c r="F26" s="122"/>
      <c r="G26" s="122"/>
      <c r="H26" s="122"/>
      <c r="I26" s="122"/>
      <c r="J26" s="122"/>
      <c r="K26" s="122"/>
      <c r="L26" s="122"/>
      <c r="M26" s="122"/>
      <c r="N26" s="122"/>
    </row>
    <row r="27" spans="1:14" x14ac:dyDescent="0.2">
      <c r="A27" s="122"/>
      <c r="B27" s="122"/>
      <c r="C27" s="122"/>
      <c r="D27" s="122"/>
      <c r="E27" s="122"/>
      <c r="F27" s="122"/>
      <c r="G27" s="122"/>
      <c r="H27" s="122"/>
      <c r="I27" s="122"/>
      <c r="J27" s="122"/>
      <c r="K27" s="122"/>
      <c r="L27" s="122"/>
      <c r="M27" s="122"/>
      <c r="N27" s="122"/>
    </row>
    <row r="28" spans="1:14" x14ac:dyDescent="0.2">
      <c r="A28" s="122"/>
      <c r="B28" s="122"/>
      <c r="C28" s="122"/>
      <c r="D28" s="122"/>
      <c r="E28" s="122"/>
      <c r="F28" s="122"/>
      <c r="G28" s="122"/>
      <c r="H28" s="122"/>
      <c r="I28" s="122"/>
      <c r="J28" s="122"/>
      <c r="K28" s="122"/>
      <c r="L28" s="122"/>
      <c r="M28" s="122"/>
      <c r="N28" s="122"/>
    </row>
    <row r="29" spans="1:14" x14ac:dyDescent="0.2">
      <c r="A29" s="122"/>
      <c r="B29" s="122"/>
      <c r="C29" s="122"/>
      <c r="D29" s="122"/>
      <c r="E29" s="122"/>
      <c r="F29" s="122"/>
      <c r="G29" s="122"/>
      <c r="H29" s="122"/>
      <c r="I29" s="122"/>
      <c r="J29" s="122"/>
      <c r="K29" s="122"/>
      <c r="L29" s="122"/>
      <c r="M29" s="122"/>
      <c r="N29" s="122"/>
    </row>
    <row r="30" spans="1:14" x14ac:dyDescent="0.2">
      <c r="A30" s="122"/>
      <c r="B30" s="122"/>
      <c r="C30" s="122"/>
      <c r="D30" s="122"/>
      <c r="E30" s="122"/>
      <c r="F30" s="122"/>
      <c r="G30" s="122"/>
      <c r="H30" s="122"/>
      <c r="I30" s="122"/>
      <c r="J30" s="122"/>
      <c r="K30" s="122"/>
      <c r="L30" s="122"/>
      <c r="M30" s="122"/>
      <c r="N30" s="122"/>
    </row>
    <row r="31" spans="1:14" x14ac:dyDescent="0.2">
      <c r="A31" s="122"/>
      <c r="B31" s="122"/>
      <c r="C31" s="122"/>
      <c r="D31" s="122"/>
      <c r="E31" s="122"/>
      <c r="F31" s="122"/>
      <c r="G31" s="122"/>
      <c r="H31" s="122"/>
      <c r="I31" s="122"/>
      <c r="J31" s="122"/>
      <c r="K31" s="122"/>
      <c r="L31" s="122"/>
      <c r="M31" s="122"/>
      <c r="N31" s="122"/>
    </row>
    <row r="32" spans="1:14" x14ac:dyDescent="0.2">
      <c r="A32" s="122"/>
      <c r="B32" s="122"/>
      <c r="C32" s="122"/>
      <c r="D32" s="122"/>
      <c r="E32" s="122"/>
      <c r="F32" s="122"/>
      <c r="G32" s="122"/>
      <c r="H32" s="122"/>
      <c r="I32" s="122"/>
      <c r="J32" s="122"/>
      <c r="K32" s="122"/>
      <c r="L32" s="122"/>
      <c r="M32" s="122"/>
      <c r="N32" s="122"/>
    </row>
    <row r="33" spans="1:14" x14ac:dyDescent="0.2">
      <c r="A33" s="122"/>
      <c r="B33" s="122"/>
      <c r="C33" s="122"/>
      <c r="D33" s="122"/>
      <c r="E33" s="122"/>
      <c r="F33" s="122"/>
      <c r="G33" s="122"/>
      <c r="H33" s="122"/>
      <c r="I33" s="122"/>
      <c r="J33" s="122"/>
      <c r="K33" s="122"/>
      <c r="L33" s="122"/>
      <c r="M33" s="122"/>
      <c r="N33" s="122"/>
    </row>
    <row r="34" spans="1:14" x14ac:dyDescent="0.2">
      <c r="A34" s="122"/>
      <c r="B34" s="122"/>
      <c r="C34" s="122"/>
      <c r="D34" s="122"/>
      <c r="E34" s="122"/>
      <c r="F34" s="122"/>
      <c r="G34" s="122"/>
      <c r="H34" s="122"/>
      <c r="I34" s="122"/>
      <c r="J34" s="122"/>
      <c r="K34" s="122"/>
      <c r="L34" s="122"/>
      <c r="M34" s="122"/>
      <c r="N34" s="122"/>
    </row>
    <row r="39" spans="1:14" ht="47.25" x14ac:dyDescent="0.25">
      <c r="A39" s="179" t="s">
        <v>87</v>
      </c>
      <c r="B39" s="179" t="s">
        <v>162</v>
      </c>
      <c r="C39" s="183"/>
      <c r="D39" s="234"/>
      <c r="E39" s="179" t="s">
        <v>234</v>
      </c>
      <c r="F39" s="234"/>
      <c r="G39" s="179" t="s">
        <v>279</v>
      </c>
      <c r="H39" s="234"/>
      <c r="I39" s="179" t="s">
        <v>83</v>
      </c>
      <c r="J39" s="234"/>
      <c r="K39" s="179" t="s">
        <v>93</v>
      </c>
      <c r="L39" s="122"/>
      <c r="M39" s="122"/>
      <c r="N39" s="122"/>
    </row>
    <row r="40" spans="1:14" ht="15.75" x14ac:dyDescent="0.25">
      <c r="A40" s="180" t="s">
        <v>235</v>
      </c>
      <c r="B40" s="180">
        <v>2</v>
      </c>
      <c r="C40" s="184" t="e">
        <f>Результаты_Класс!#REF!</f>
        <v>#REF!</v>
      </c>
      <c r="D40" s="181" t="e">
        <f>Результаты_Класс!#REF!</f>
        <v>#REF!</v>
      </c>
      <c r="E40" s="185">
        <f>Результаты_Класс!AA14/G5*100</f>
        <v>50</v>
      </c>
      <c r="F40" s="181" t="e">
        <f>Результаты_Класс!#REF!</f>
        <v>#REF!</v>
      </c>
      <c r="G40" s="185">
        <f>(Результаты_Класс!AA15+Результаты_Класс!AA16+Результаты_Класс!AA17)/Пов_З!G5*100</f>
        <v>5.8823529411764701</v>
      </c>
      <c r="H40" s="182" t="e">
        <f>Результаты_Класс!#REF!</f>
        <v>#REF!</v>
      </c>
      <c r="I40" s="185">
        <f>Результаты_Класс!AA18/Пов_З!G5*100</f>
        <v>0</v>
      </c>
      <c r="J40" s="182" t="e">
        <f>Результаты_Класс!#REF!</f>
        <v>#REF!</v>
      </c>
      <c r="K40" s="185">
        <f>Результаты_Класс!AA19/Пов_З!G5*100</f>
        <v>44.117647058823529</v>
      </c>
      <c r="L40" s="122"/>
      <c r="M40" s="122"/>
      <c r="N40" s="122"/>
    </row>
    <row r="41" spans="1:14" ht="15.75" x14ac:dyDescent="0.25">
      <c r="A41" s="180" t="s">
        <v>236</v>
      </c>
      <c r="B41" s="180">
        <v>2</v>
      </c>
      <c r="C41" s="186"/>
      <c r="D41" s="181" t="e">
        <f>Результаты_Класс!#REF!</f>
        <v>#REF!</v>
      </c>
      <c r="E41" s="185">
        <f>Результаты_Класс!AB14/Пов_З!G5*100</f>
        <v>29.411764705882355</v>
      </c>
      <c r="F41" s="181" t="e">
        <f>Результаты_Класс!#REF!</f>
        <v>#REF!</v>
      </c>
      <c r="G41" s="185">
        <f>(Результаты_Класс!AB15+Результаты_Класс!AB16+Результаты_Класс!AB17)/Пов_З!G5*100</f>
        <v>5.8823529411764701</v>
      </c>
      <c r="H41" s="182" t="e">
        <f>Результаты_Класс!#REF!</f>
        <v>#REF!</v>
      </c>
      <c r="I41" s="185">
        <f>Результаты_Класс!AB18/Пов_З!G5*100</f>
        <v>0</v>
      </c>
      <c r="J41" s="182" t="e">
        <f>Результаты_Класс!#REF!</f>
        <v>#REF!</v>
      </c>
      <c r="K41" s="185">
        <f>Результаты_Класс!AB19/Пов_З!G5*100</f>
        <v>64.705882352941174</v>
      </c>
      <c r="L41" s="122"/>
      <c r="M41" s="122"/>
      <c r="N41" s="122"/>
    </row>
    <row r="42" spans="1:14" x14ac:dyDescent="0.2">
      <c r="A42" s="122"/>
      <c r="B42" s="122"/>
      <c r="C42" s="122"/>
      <c r="D42" s="122"/>
      <c r="E42" s="122"/>
      <c r="F42" s="235"/>
      <c r="G42" s="122"/>
      <c r="H42" s="122"/>
      <c r="I42" s="122"/>
      <c r="J42" s="122"/>
      <c r="K42" s="122"/>
      <c r="L42" s="122"/>
      <c r="M42" s="122"/>
      <c r="N42" s="122"/>
    </row>
    <row r="43" spans="1:14" x14ac:dyDescent="0.2">
      <c r="A43" s="122"/>
      <c r="B43" s="122"/>
      <c r="C43" s="122"/>
      <c r="D43" s="122"/>
      <c r="E43" s="122"/>
      <c r="F43" s="122"/>
      <c r="G43" s="122"/>
      <c r="H43" s="122"/>
      <c r="I43" s="122"/>
      <c r="J43" s="122"/>
      <c r="K43" s="122"/>
      <c r="L43" s="122"/>
      <c r="M43" s="122"/>
      <c r="N43" s="122"/>
    </row>
    <row r="44" spans="1:14" x14ac:dyDescent="0.2">
      <c r="A44" s="122"/>
      <c r="B44" s="122"/>
      <c r="C44" s="122"/>
      <c r="D44" s="122"/>
      <c r="E44" s="122"/>
      <c r="F44" s="122"/>
      <c r="G44" s="122"/>
      <c r="H44" s="122"/>
      <c r="I44" s="122"/>
      <c r="J44" s="122"/>
      <c r="K44" s="122"/>
      <c r="L44" s="122"/>
      <c r="M44" s="122"/>
      <c r="N44" s="122"/>
    </row>
    <row r="45" spans="1:14" x14ac:dyDescent="0.2">
      <c r="A45" s="122"/>
      <c r="B45" s="122"/>
      <c r="C45" s="122"/>
      <c r="D45" s="122"/>
      <c r="E45" s="122"/>
      <c r="F45" s="122"/>
      <c r="G45" s="122"/>
      <c r="H45" s="122"/>
      <c r="I45" s="122"/>
      <c r="J45" s="122"/>
      <c r="K45" s="122"/>
      <c r="L45" s="122"/>
      <c r="M45" s="122"/>
      <c r="N45" s="122"/>
    </row>
    <row r="46" spans="1:14" x14ac:dyDescent="0.2">
      <c r="A46" s="122"/>
      <c r="B46" s="122"/>
      <c r="C46" s="122"/>
      <c r="D46" s="122"/>
      <c r="E46" s="122"/>
      <c r="F46" s="122"/>
      <c r="G46" s="122"/>
      <c r="H46" s="122"/>
      <c r="I46" s="122"/>
      <c r="J46" s="122"/>
      <c r="K46" s="122"/>
      <c r="L46" s="122"/>
      <c r="M46" s="122"/>
      <c r="N46" s="122"/>
    </row>
    <row r="47" spans="1:14" x14ac:dyDescent="0.2">
      <c r="A47" s="122"/>
      <c r="B47" s="122"/>
      <c r="C47" s="122"/>
      <c r="D47" s="122"/>
      <c r="E47" s="122"/>
      <c r="F47" s="122"/>
      <c r="G47" s="122"/>
      <c r="H47" s="122"/>
      <c r="I47" s="122"/>
      <c r="J47" s="122"/>
      <c r="K47" s="122"/>
      <c r="L47" s="122"/>
      <c r="M47" s="122"/>
      <c r="N47" s="122"/>
    </row>
    <row r="48" spans="1:14" x14ac:dyDescent="0.2">
      <c r="A48" s="122"/>
      <c r="B48" s="122"/>
      <c r="C48" s="122"/>
      <c r="D48" s="122"/>
      <c r="E48" s="122"/>
      <c r="F48" s="122"/>
      <c r="G48" s="122"/>
      <c r="H48" s="122"/>
      <c r="I48" s="122"/>
      <c r="J48" s="122"/>
      <c r="K48" s="122"/>
      <c r="L48" s="122"/>
      <c r="M48" s="122"/>
      <c r="N48" s="122"/>
    </row>
    <row r="49" spans="1:14" x14ac:dyDescent="0.2">
      <c r="A49" s="122"/>
      <c r="B49" s="122"/>
      <c r="C49" s="122"/>
      <c r="D49" s="122"/>
      <c r="E49" s="122"/>
      <c r="F49" s="122"/>
      <c r="G49" s="122"/>
      <c r="H49" s="122"/>
      <c r="I49" s="122"/>
      <c r="J49" s="122"/>
      <c r="K49" s="122"/>
      <c r="L49" s="122"/>
      <c r="M49" s="122"/>
      <c r="N49" s="122"/>
    </row>
    <row r="50" spans="1:14" x14ac:dyDescent="0.2">
      <c r="A50" s="122"/>
      <c r="B50" s="122"/>
      <c r="C50" s="122"/>
      <c r="D50" s="122"/>
      <c r="E50" s="122"/>
      <c r="F50" s="122"/>
      <c r="G50" s="122"/>
      <c r="H50" s="122"/>
      <c r="I50" s="122"/>
      <c r="J50" s="122"/>
      <c r="K50" s="122"/>
      <c r="L50" s="122"/>
      <c r="M50" s="122"/>
      <c r="N50" s="122"/>
    </row>
    <row r="51" spans="1:14" x14ac:dyDescent="0.2">
      <c r="A51" s="122"/>
      <c r="B51" s="122"/>
      <c r="C51" s="122"/>
      <c r="D51" s="122"/>
      <c r="E51" s="122"/>
      <c r="F51" s="122"/>
      <c r="G51" s="122"/>
      <c r="H51" s="122"/>
      <c r="I51" s="122"/>
      <c r="J51" s="122"/>
      <c r="K51" s="122"/>
      <c r="L51" s="122"/>
      <c r="M51" s="122"/>
      <c r="N51" s="122"/>
    </row>
    <row r="52" spans="1:14" x14ac:dyDescent="0.2">
      <c r="A52" s="122"/>
      <c r="B52" s="122"/>
      <c r="C52" s="122"/>
      <c r="D52" s="122"/>
      <c r="E52" s="122"/>
      <c r="F52" s="122"/>
      <c r="G52" s="122"/>
      <c r="H52" s="122"/>
      <c r="I52" s="122"/>
      <c r="J52" s="122"/>
      <c r="K52" s="122"/>
      <c r="L52" s="122"/>
      <c r="M52" s="122"/>
      <c r="N52" s="122"/>
    </row>
    <row r="53" spans="1:14" x14ac:dyDescent="0.2">
      <c r="A53" s="122"/>
      <c r="B53" s="122"/>
      <c r="C53" s="122"/>
      <c r="D53" s="122"/>
      <c r="E53" s="122"/>
      <c r="F53" s="122"/>
      <c r="G53" s="122"/>
      <c r="H53" s="122"/>
      <c r="I53" s="122"/>
      <c r="J53" s="122"/>
      <c r="K53" s="122"/>
      <c r="L53" s="122"/>
      <c r="M53" s="122"/>
      <c r="N53" s="122"/>
    </row>
    <row r="54" spans="1:14" x14ac:dyDescent="0.2">
      <c r="A54" s="122"/>
      <c r="B54" s="122"/>
      <c r="C54" s="122"/>
      <c r="D54" s="122"/>
      <c r="E54" s="122"/>
      <c r="F54" s="122"/>
      <c r="G54" s="122"/>
      <c r="H54" s="122"/>
      <c r="I54" s="122"/>
      <c r="J54" s="122"/>
      <c r="K54" s="122"/>
      <c r="L54" s="122"/>
      <c r="M54" s="122"/>
      <c r="N54" s="122"/>
    </row>
    <row r="55" spans="1:14" x14ac:dyDescent="0.2">
      <c r="A55" s="122"/>
      <c r="B55" s="122"/>
      <c r="C55" s="122"/>
      <c r="D55" s="122"/>
      <c r="E55" s="122"/>
      <c r="F55" s="122"/>
      <c r="G55" s="122"/>
      <c r="H55" s="122"/>
      <c r="I55" s="122"/>
      <c r="J55" s="122"/>
      <c r="K55" s="122"/>
      <c r="L55" s="122"/>
      <c r="M55" s="122"/>
      <c r="N55" s="122"/>
    </row>
    <row r="56" spans="1:14" x14ac:dyDescent="0.2">
      <c r="A56" s="122"/>
      <c r="B56" s="122"/>
      <c r="C56" s="122"/>
      <c r="D56" s="122"/>
      <c r="E56" s="122"/>
      <c r="F56" s="122"/>
      <c r="G56" s="122"/>
      <c r="H56" s="122"/>
      <c r="I56" s="122"/>
      <c r="J56" s="122"/>
      <c r="K56" s="122"/>
      <c r="L56" s="122"/>
      <c r="M56" s="122"/>
      <c r="N56" s="122"/>
    </row>
    <row r="57" spans="1:14" x14ac:dyDescent="0.2">
      <c r="A57" s="122"/>
      <c r="B57" s="122"/>
      <c r="C57" s="122"/>
      <c r="D57" s="122"/>
      <c r="E57" s="122"/>
      <c r="F57" s="122"/>
      <c r="G57" s="122"/>
      <c r="H57" s="122"/>
      <c r="I57" s="122"/>
      <c r="J57" s="122"/>
      <c r="K57" s="122"/>
      <c r="L57" s="122"/>
      <c r="M57" s="122"/>
      <c r="N57" s="122"/>
    </row>
    <row r="58" spans="1:14" x14ac:dyDescent="0.2">
      <c r="A58" s="122"/>
      <c r="B58" s="122"/>
      <c r="C58" s="122"/>
      <c r="D58" s="122"/>
      <c r="E58" s="122"/>
      <c r="F58" s="122"/>
      <c r="G58" s="122"/>
      <c r="H58" s="122"/>
      <c r="I58" s="122"/>
      <c r="J58" s="122"/>
      <c r="K58" s="122"/>
      <c r="L58" s="122"/>
      <c r="M58" s="122"/>
      <c r="N58" s="122"/>
    </row>
    <row r="59" spans="1:14" x14ac:dyDescent="0.2">
      <c r="A59" s="122"/>
      <c r="B59" s="122"/>
      <c r="C59" s="122"/>
      <c r="D59" s="122"/>
      <c r="E59" s="122"/>
      <c r="F59" s="122"/>
      <c r="G59" s="122"/>
      <c r="H59" s="122"/>
      <c r="I59" s="122"/>
      <c r="J59" s="122"/>
      <c r="K59" s="122"/>
      <c r="L59" s="122"/>
      <c r="M59" s="122"/>
      <c r="N59" s="122"/>
    </row>
    <row r="60" spans="1:14" x14ac:dyDescent="0.2">
      <c r="A60" s="122"/>
      <c r="B60" s="122"/>
      <c r="C60" s="122"/>
      <c r="D60" s="122"/>
      <c r="E60" s="122"/>
      <c r="F60" s="122"/>
      <c r="G60" s="122"/>
      <c r="H60" s="122"/>
      <c r="I60" s="122"/>
      <c r="J60" s="122"/>
      <c r="K60" s="122"/>
      <c r="L60" s="122"/>
      <c r="M60" s="122"/>
      <c r="N60" s="122"/>
    </row>
    <row r="61" spans="1:14" x14ac:dyDescent="0.2">
      <c r="A61" s="122"/>
      <c r="B61" s="122"/>
      <c r="C61" s="122"/>
      <c r="D61" s="122"/>
      <c r="E61" s="122"/>
      <c r="F61" s="122"/>
      <c r="G61" s="122"/>
      <c r="H61" s="122"/>
      <c r="I61" s="122"/>
      <c r="J61" s="122"/>
      <c r="K61" s="122"/>
      <c r="L61" s="122"/>
      <c r="M61" s="122"/>
      <c r="N61" s="122"/>
    </row>
    <row r="62" spans="1:14" x14ac:dyDescent="0.2">
      <c r="A62" s="122"/>
      <c r="B62" s="122"/>
      <c r="C62" s="122"/>
      <c r="D62" s="122"/>
      <c r="E62" s="122"/>
      <c r="F62" s="122"/>
      <c r="G62" s="122"/>
      <c r="H62" s="122"/>
      <c r="I62" s="122"/>
      <c r="J62" s="122"/>
      <c r="K62" s="122"/>
      <c r="L62" s="122"/>
      <c r="M62" s="122"/>
      <c r="N62" s="122"/>
    </row>
    <row r="63" spans="1:14" x14ac:dyDescent="0.2">
      <c r="A63" s="122"/>
      <c r="B63" s="122"/>
      <c r="C63" s="122"/>
      <c r="D63" s="122"/>
      <c r="E63" s="122"/>
      <c r="F63" s="122"/>
      <c r="G63" s="122"/>
      <c r="H63" s="122"/>
      <c r="I63" s="122"/>
      <c r="J63" s="122"/>
      <c r="K63" s="122"/>
      <c r="L63" s="122"/>
      <c r="M63" s="122"/>
      <c r="N63" s="122"/>
    </row>
    <row r="64" spans="1:14" x14ac:dyDescent="0.2">
      <c r="A64" s="122"/>
      <c r="B64" s="122"/>
      <c r="C64" s="122"/>
      <c r="D64" s="122"/>
      <c r="E64" s="122"/>
      <c r="F64" s="122"/>
      <c r="G64" s="122"/>
      <c r="H64" s="122"/>
      <c r="I64" s="122"/>
      <c r="J64" s="122"/>
      <c r="K64" s="122"/>
      <c r="L64" s="122"/>
      <c r="M64" s="122"/>
      <c r="N64" s="122"/>
    </row>
    <row r="65" spans="1:14" x14ac:dyDescent="0.2">
      <c r="A65" s="122"/>
      <c r="B65" s="122"/>
      <c r="C65" s="122"/>
      <c r="D65" s="122"/>
      <c r="E65" s="122"/>
      <c r="F65" s="122"/>
      <c r="G65" s="122"/>
      <c r="H65" s="122"/>
      <c r="I65" s="122"/>
      <c r="J65" s="122"/>
      <c r="K65" s="122"/>
      <c r="L65" s="122"/>
      <c r="M65" s="122"/>
      <c r="N65" s="122"/>
    </row>
    <row r="66" spans="1:14" x14ac:dyDescent="0.2">
      <c r="A66" s="122"/>
      <c r="B66" s="122"/>
      <c r="C66" s="122"/>
      <c r="D66" s="122"/>
      <c r="E66" s="122"/>
      <c r="F66" s="122"/>
      <c r="G66" s="122"/>
      <c r="H66" s="122"/>
      <c r="I66" s="122"/>
      <c r="J66" s="122"/>
      <c r="K66" s="122"/>
      <c r="L66" s="122"/>
      <c r="M66" s="122"/>
      <c r="N66" s="122"/>
    </row>
    <row r="67" spans="1:14" x14ac:dyDescent="0.2">
      <c r="A67" s="122"/>
      <c r="B67" s="122"/>
      <c r="C67" s="122"/>
      <c r="D67" s="122"/>
      <c r="E67" s="122"/>
      <c r="F67" s="122"/>
      <c r="G67" s="122"/>
      <c r="H67" s="122"/>
      <c r="I67" s="122"/>
      <c r="J67" s="122"/>
      <c r="K67" s="122"/>
      <c r="L67" s="122"/>
      <c r="M67" s="122"/>
      <c r="N67" s="122"/>
    </row>
    <row r="68" spans="1:14" x14ac:dyDescent="0.2">
      <c r="A68" s="122"/>
      <c r="B68" s="122"/>
      <c r="C68" s="122"/>
      <c r="D68" s="122"/>
      <c r="E68" s="122"/>
      <c r="F68" s="122"/>
      <c r="G68" s="122"/>
      <c r="H68" s="122"/>
      <c r="I68" s="122"/>
      <c r="J68" s="122"/>
      <c r="K68" s="122"/>
      <c r="L68" s="122"/>
      <c r="M68" s="122"/>
      <c r="N68" s="122"/>
    </row>
  </sheetData>
  <sheetProtection password="C62D" sheet="1" scenarios="1" selectLockedCells="1" selectUnlockedCells="1"/>
  <mergeCells count="3">
    <mergeCell ref="A5:F5"/>
    <mergeCell ref="B3:K3"/>
    <mergeCell ref="A1:N1"/>
  </mergeCells>
  <pageMargins left="0.7" right="0.7" top="0.75" bottom="0.75" header="0.3" footer="0.3"/>
  <pageSetup paperSize="9" orientation="landscape" r:id="rId1"/>
  <headerFooter>
    <oddHeader>&amp;CКГБУ "Региональный центр оценки качества образования"</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4"/>
  <sheetViews>
    <sheetView view="pageLayout" zoomScaleNormal="100" workbookViewId="0">
      <selection activeCell="E44" sqref="E43:E44"/>
    </sheetView>
  </sheetViews>
  <sheetFormatPr defaultRowHeight="12.75" x14ac:dyDescent="0.2"/>
  <cols>
    <col min="1" max="1" width="5.85546875" customWidth="1"/>
    <col min="2" max="2" width="22.140625" customWidth="1"/>
    <col min="3" max="3" width="11.5703125" customWidth="1"/>
    <col min="4" max="5" width="11" customWidth="1"/>
    <col min="7" max="7" width="10.5703125" customWidth="1"/>
  </cols>
  <sheetData>
    <row r="1" spans="1:7" ht="18" x14ac:dyDescent="0.25">
      <c r="A1" s="621" t="s">
        <v>285</v>
      </c>
      <c r="B1" s="621"/>
      <c r="C1" s="621"/>
      <c r="D1" s="621"/>
      <c r="E1" s="621"/>
      <c r="F1" s="621"/>
      <c r="G1" s="621"/>
    </row>
    <row r="3" spans="1:7" ht="33.75" customHeight="1" x14ac:dyDescent="0.2">
      <c r="A3" s="400" t="s">
        <v>286</v>
      </c>
      <c r="B3" s="644" t="str">
        <f>Результаты_Класс!G4</f>
        <v/>
      </c>
      <c r="C3" s="644"/>
      <c r="D3" s="644"/>
      <c r="E3" s="644"/>
      <c r="F3" s="125" t="s">
        <v>91</v>
      </c>
      <c r="G3" s="236">
        <f>'Ответы учащихся'!N2</f>
        <v>1001</v>
      </c>
    </row>
    <row r="4" spans="1:7" ht="5.25" customHeight="1" x14ac:dyDescent="0.2">
      <c r="A4" s="400"/>
      <c r="B4" s="401"/>
      <c r="C4" s="401"/>
      <c r="D4" s="401"/>
      <c r="E4" s="401"/>
      <c r="F4" s="125"/>
      <c r="G4" s="417"/>
    </row>
    <row r="5" spans="1:7" ht="27.75" customHeight="1" x14ac:dyDescent="0.2">
      <c r="B5" s="403" t="str">
        <f>Результаты_Класс!D6</f>
        <v>Выполняло работу:</v>
      </c>
      <c r="C5" s="404">
        <f>Результаты_Класс!F6</f>
        <v>34</v>
      </c>
      <c r="D5" s="646" t="s">
        <v>292</v>
      </c>
      <c r="E5" s="646"/>
      <c r="F5" s="646"/>
      <c r="G5" s="404">
        <f>Результаты_Класс!Y19</f>
        <v>8</v>
      </c>
    </row>
    <row r="6" spans="1:7" ht="15.75" x14ac:dyDescent="0.25">
      <c r="B6" s="647" t="s">
        <v>163</v>
      </c>
      <c r="C6" s="647"/>
      <c r="D6" s="647"/>
      <c r="E6" s="647"/>
      <c r="F6" s="647"/>
      <c r="G6" s="647"/>
    </row>
    <row r="7" spans="1:7" ht="22.5" customHeight="1" x14ac:dyDescent="0.2">
      <c r="B7" s="414" t="s">
        <v>287</v>
      </c>
      <c r="C7" s="415" t="s">
        <v>180</v>
      </c>
      <c r="D7" s="415" t="s">
        <v>181</v>
      </c>
      <c r="E7" s="415" t="s">
        <v>182</v>
      </c>
      <c r="F7" s="415" t="s">
        <v>183</v>
      </c>
      <c r="G7" s="415" t="s">
        <v>184</v>
      </c>
    </row>
    <row r="8" spans="1:7" ht="42.75" x14ac:dyDescent="0.2">
      <c r="B8" s="416" t="s">
        <v>288</v>
      </c>
      <c r="C8" s="402">
        <f>COUNTIF('Ответы учащихся'!W20:'Ответы учащихся'!W59,0.4)</f>
        <v>26</v>
      </c>
      <c r="D8" s="402">
        <f>COUNTIF('Ответы учащихся'!X20:'Ответы учащихся'!X59,0.4)</f>
        <v>21</v>
      </c>
      <c r="E8" s="402">
        <f>COUNTIF('Ответы учащихся'!Y20:'Ответы учащихся'!Y59,0.4)</f>
        <v>14</v>
      </c>
      <c r="F8" s="402">
        <f>COUNTIF('Ответы учащихся'!Z20:'Ответы учащихся'!Z59,0.4)</f>
        <v>10</v>
      </c>
      <c r="G8" s="402">
        <f>COUNTIF('Ответы учащихся'!AA20:'Ответы учащихся'!AA59,0.4)</f>
        <v>10</v>
      </c>
    </row>
    <row r="9" spans="1:7" ht="42.75" x14ac:dyDescent="0.2">
      <c r="B9" s="416" t="s">
        <v>289</v>
      </c>
      <c r="C9" s="405">
        <f>C8/$C$5*100</f>
        <v>76.470588235294116</v>
      </c>
      <c r="D9" s="405">
        <f t="shared" ref="D9:G9" si="0">D8/$C$5*100</f>
        <v>61.764705882352942</v>
      </c>
      <c r="E9" s="405">
        <f t="shared" si="0"/>
        <v>41.17647058823529</v>
      </c>
      <c r="F9" s="405">
        <f t="shared" si="0"/>
        <v>29.411764705882355</v>
      </c>
      <c r="G9" s="405">
        <f t="shared" si="0"/>
        <v>29.411764705882355</v>
      </c>
    </row>
    <row r="10" spans="1:7" ht="42.75" x14ac:dyDescent="0.2">
      <c r="B10" s="416" t="s">
        <v>290</v>
      </c>
      <c r="C10" s="402">
        <f>$C$5-C8-$G$5</f>
        <v>0</v>
      </c>
      <c r="D10" s="402">
        <f t="shared" ref="D10:G10" si="1">$C$5-D8-$G$5</f>
        <v>5</v>
      </c>
      <c r="E10" s="402">
        <f t="shared" si="1"/>
        <v>12</v>
      </c>
      <c r="F10" s="402">
        <f t="shared" si="1"/>
        <v>16</v>
      </c>
      <c r="G10" s="402">
        <f t="shared" si="1"/>
        <v>16</v>
      </c>
    </row>
    <row r="11" spans="1:7" ht="42.75" x14ac:dyDescent="0.2">
      <c r="B11" s="416" t="s">
        <v>291</v>
      </c>
      <c r="C11" s="405">
        <f>C10/$C$5*100</f>
        <v>0</v>
      </c>
      <c r="D11" s="405">
        <f t="shared" ref="D11" si="2">D10/$C$5*100</f>
        <v>14.705882352941178</v>
      </c>
      <c r="E11" s="405">
        <f t="shared" ref="E11" si="3">E10/$C$5*100</f>
        <v>35.294117647058826</v>
      </c>
      <c r="F11" s="405">
        <f t="shared" ref="F11" si="4">F10/$C$5*100</f>
        <v>47.058823529411761</v>
      </c>
      <c r="G11" s="405">
        <f t="shared" ref="G11" si="5">G10/$C$5*100</f>
        <v>47.058823529411761</v>
      </c>
    </row>
    <row r="49" spans="2:7" ht="25.5" customHeight="1" x14ac:dyDescent="0.2">
      <c r="D49" s="646" t="s">
        <v>292</v>
      </c>
      <c r="E49" s="646"/>
      <c r="F49" s="646"/>
      <c r="G49" s="404">
        <f>Результаты_Класс!AA19</f>
        <v>15</v>
      </c>
    </row>
    <row r="50" spans="2:7" ht="15.75" x14ac:dyDescent="0.25">
      <c r="B50" s="647" t="s">
        <v>235</v>
      </c>
      <c r="C50" s="647"/>
      <c r="D50" s="647"/>
      <c r="E50" s="647"/>
      <c r="F50" s="647"/>
      <c r="G50" s="647"/>
    </row>
    <row r="51" spans="2:7" ht="14.25" x14ac:dyDescent="0.2">
      <c r="B51" s="406" t="s">
        <v>287</v>
      </c>
      <c r="C51" s="407" t="s">
        <v>185</v>
      </c>
      <c r="D51" s="407" t="s">
        <v>186</v>
      </c>
      <c r="E51" s="407" t="s">
        <v>187</v>
      </c>
      <c r="F51" s="407" t="s">
        <v>188</v>
      </c>
      <c r="G51" s="409"/>
    </row>
    <row r="52" spans="2:7" ht="42.75" x14ac:dyDescent="0.2">
      <c r="B52" s="408" t="s">
        <v>288</v>
      </c>
      <c r="C52" s="402">
        <f>COUNTIF('Ответы учащихся'!AB20:AB59,0.5)</f>
        <v>18</v>
      </c>
      <c r="D52" s="402">
        <f>COUNTIF('Ответы учащихся'!AC20:AC59,0.5)</f>
        <v>19</v>
      </c>
      <c r="E52" s="402">
        <f>COUNTIF('Ответы учащихся'!AD20:AD59,0.5)</f>
        <v>18</v>
      </c>
      <c r="F52" s="402">
        <f>COUNTIF('Ответы учащихся'!AE20:AE59,0.5)</f>
        <v>18</v>
      </c>
      <c r="G52" s="410"/>
    </row>
    <row r="53" spans="2:7" ht="42.75" x14ac:dyDescent="0.2">
      <c r="B53" s="408" t="s">
        <v>289</v>
      </c>
      <c r="C53" s="405">
        <f>C52/$C$5*100</f>
        <v>52.941176470588239</v>
      </c>
      <c r="D53" s="405">
        <f t="shared" ref="D53" si="6">D52/$C$5*100</f>
        <v>55.882352941176471</v>
      </c>
      <c r="E53" s="405">
        <f t="shared" ref="E53" si="7">E52/$C$5*100</f>
        <v>52.941176470588239</v>
      </c>
      <c r="F53" s="405">
        <f t="shared" ref="F53" si="8">F52/$C$5*100</f>
        <v>52.941176470588239</v>
      </c>
      <c r="G53" s="411"/>
    </row>
    <row r="54" spans="2:7" ht="42.75" x14ac:dyDescent="0.2">
      <c r="B54" s="408" t="s">
        <v>290</v>
      </c>
      <c r="C54" s="402">
        <f>$C$5-C52-$G$49</f>
        <v>1</v>
      </c>
      <c r="D54" s="402">
        <f t="shared" ref="D54:F54" si="9">$C$5-D52-$G$49</f>
        <v>0</v>
      </c>
      <c r="E54" s="402">
        <f t="shared" si="9"/>
        <v>1</v>
      </c>
      <c r="F54" s="402">
        <f t="shared" si="9"/>
        <v>1</v>
      </c>
      <c r="G54" s="410"/>
    </row>
    <row r="55" spans="2:7" ht="42.75" x14ac:dyDescent="0.2">
      <c r="B55" s="408" t="s">
        <v>291</v>
      </c>
      <c r="C55" s="405">
        <f>C54/$C$5*100</f>
        <v>2.9411764705882351</v>
      </c>
      <c r="D55" s="405">
        <f t="shared" ref="D55" si="10">D54/$C$5*100</f>
        <v>0</v>
      </c>
      <c r="E55" s="405">
        <f t="shared" ref="E55" si="11">E54/$C$5*100</f>
        <v>2.9411764705882351</v>
      </c>
      <c r="F55" s="405">
        <f t="shared" ref="F55" si="12">F54/$C$5*100</f>
        <v>2.9411764705882351</v>
      </c>
      <c r="G55" s="411"/>
    </row>
    <row r="98" spans="2:7" ht="30" customHeight="1" x14ac:dyDescent="0.2">
      <c r="D98" s="646" t="s">
        <v>292</v>
      </c>
      <c r="E98" s="646"/>
      <c r="F98" s="646"/>
      <c r="G98" s="404">
        <f>Результаты_Класс!AB19</f>
        <v>22</v>
      </c>
    </row>
    <row r="99" spans="2:7" ht="15.75" x14ac:dyDescent="0.25">
      <c r="B99" s="647" t="s">
        <v>236</v>
      </c>
      <c r="C99" s="647"/>
      <c r="D99" s="647"/>
      <c r="E99" s="647"/>
      <c r="F99" s="647"/>
      <c r="G99" s="647"/>
    </row>
    <row r="100" spans="2:7" ht="14.25" x14ac:dyDescent="0.2">
      <c r="B100" s="412" t="s">
        <v>287</v>
      </c>
      <c r="C100" s="413" t="s">
        <v>189</v>
      </c>
      <c r="D100" s="413" t="s">
        <v>190</v>
      </c>
      <c r="E100" s="413" t="s">
        <v>191</v>
      </c>
      <c r="F100" s="413" t="s">
        <v>192</v>
      </c>
      <c r="G100" s="409"/>
    </row>
    <row r="101" spans="2:7" ht="42.75" x14ac:dyDescent="0.2">
      <c r="B101" s="418" t="s">
        <v>288</v>
      </c>
      <c r="C101" s="402">
        <f>COUNTIF('Ответы учащихся'!AF20:AF59,0.5)</f>
        <v>12</v>
      </c>
      <c r="D101" s="402">
        <f>COUNTIF('Ответы учащихся'!AG20:AG59,0.5)</f>
        <v>12</v>
      </c>
      <c r="E101" s="402">
        <f>COUNTIF('Ответы учащихся'!AH20:AH59,0.5)</f>
        <v>12</v>
      </c>
      <c r="F101" s="402">
        <f>COUNTIF('Ответы учащихся'!AI20:AI59,0.5)</f>
        <v>10</v>
      </c>
      <c r="G101" s="410"/>
    </row>
    <row r="102" spans="2:7" ht="42.75" x14ac:dyDescent="0.2">
      <c r="B102" s="418" t="s">
        <v>289</v>
      </c>
      <c r="C102" s="405">
        <f>C101/$C$5*100</f>
        <v>35.294117647058826</v>
      </c>
      <c r="D102" s="405">
        <f t="shared" ref="D102:F102" si="13">D101/$C$5*100</f>
        <v>35.294117647058826</v>
      </c>
      <c r="E102" s="405">
        <f t="shared" si="13"/>
        <v>35.294117647058826</v>
      </c>
      <c r="F102" s="405">
        <f t="shared" si="13"/>
        <v>29.411764705882355</v>
      </c>
      <c r="G102" s="411"/>
    </row>
    <row r="103" spans="2:7" ht="42.75" x14ac:dyDescent="0.2">
      <c r="B103" s="418" t="s">
        <v>290</v>
      </c>
      <c r="C103" s="402">
        <f>$C$5-C101-$G$98</f>
        <v>0</v>
      </c>
      <c r="D103" s="402">
        <f t="shared" ref="D103:F103" si="14">$C$5-D101-$G$98</f>
        <v>0</v>
      </c>
      <c r="E103" s="402">
        <f t="shared" si="14"/>
        <v>0</v>
      </c>
      <c r="F103" s="402">
        <f t="shared" si="14"/>
        <v>2</v>
      </c>
      <c r="G103" s="410"/>
    </row>
    <row r="104" spans="2:7" ht="42.75" x14ac:dyDescent="0.2">
      <c r="B104" s="418" t="s">
        <v>291</v>
      </c>
      <c r="C104" s="405">
        <f>C103/$C$5*100</f>
        <v>0</v>
      </c>
      <c r="D104" s="405">
        <f t="shared" ref="D104" si="15">D103/$C$5*100</f>
        <v>0</v>
      </c>
      <c r="E104" s="405">
        <f t="shared" ref="E104" si="16">E103/$C$5*100</f>
        <v>0</v>
      </c>
      <c r="F104" s="405">
        <f t="shared" ref="F104" si="17">F103/$C$5*100</f>
        <v>5.8823529411764701</v>
      </c>
      <c r="G104" s="411"/>
    </row>
  </sheetData>
  <sheetProtection password="C62D" sheet="1" scenarios="1" selectLockedCells="1" selectUnlockedCells="1"/>
  <mergeCells count="8">
    <mergeCell ref="A1:G1"/>
    <mergeCell ref="D98:F98"/>
    <mergeCell ref="B99:G99"/>
    <mergeCell ref="B6:G6"/>
    <mergeCell ref="B3:E3"/>
    <mergeCell ref="B50:G50"/>
    <mergeCell ref="D5:F5"/>
    <mergeCell ref="D49:F4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8"/>
  <sheetViews>
    <sheetView showWhiteSpace="0" topLeftCell="C1" zoomScaleNormal="100" workbookViewId="0">
      <selection activeCell="B4" sqref="B4:O4"/>
    </sheetView>
  </sheetViews>
  <sheetFormatPr defaultRowHeight="12.75" x14ac:dyDescent="0.2"/>
  <cols>
    <col min="1" max="1" width="3.85546875" customWidth="1"/>
    <col min="2" max="2" width="16.28515625" customWidth="1"/>
    <col min="3" max="3" width="13.28515625" customWidth="1"/>
    <col min="4" max="4" width="6.140625" customWidth="1"/>
    <col min="5" max="5" width="7.5703125" customWidth="1"/>
    <col min="6" max="6" width="10.42578125" customWidth="1"/>
    <col min="7" max="7" width="10.140625" customWidth="1"/>
    <col min="8" max="8" width="9.140625" customWidth="1"/>
    <col min="9" max="9" width="5.7109375" customWidth="1"/>
    <col min="10" max="10" width="8" customWidth="1"/>
    <col min="11" max="11" width="5.85546875" customWidth="1"/>
    <col min="12" max="12" width="7" customWidth="1"/>
    <col min="13" max="13" width="6" customWidth="1"/>
    <col min="14" max="14" width="6.85546875" customWidth="1"/>
    <col min="15" max="15" width="5.7109375" customWidth="1"/>
    <col min="16" max="16" width="7.140625" customWidth="1"/>
    <col min="18" max="18" width="10.28515625" bestFit="1" customWidth="1"/>
  </cols>
  <sheetData>
    <row r="1" spans="1:23" x14ac:dyDescent="0.2">
      <c r="A1" s="122"/>
      <c r="B1" s="122"/>
      <c r="C1" s="122"/>
      <c r="D1" s="122"/>
      <c r="E1" s="122"/>
      <c r="F1" s="122"/>
      <c r="G1" s="122"/>
      <c r="H1" s="122"/>
      <c r="I1" s="122"/>
      <c r="J1" s="122"/>
      <c r="K1" s="122"/>
      <c r="L1" s="122"/>
      <c r="M1" s="122"/>
      <c r="N1" s="122"/>
      <c r="O1" s="122"/>
      <c r="P1" s="122"/>
    </row>
    <row r="2" spans="1:23" x14ac:dyDescent="0.2">
      <c r="A2" s="122"/>
      <c r="B2" s="122"/>
      <c r="C2" s="122"/>
      <c r="D2" s="122"/>
      <c r="E2" s="122"/>
      <c r="F2" s="122"/>
      <c r="G2" s="122"/>
      <c r="H2" s="122"/>
      <c r="I2" s="122"/>
      <c r="J2" s="122"/>
      <c r="K2" s="122"/>
      <c r="L2" s="122"/>
      <c r="M2" s="122"/>
      <c r="N2" s="122"/>
      <c r="O2" s="122"/>
      <c r="P2" s="122"/>
    </row>
    <row r="3" spans="1:23" ht="15.75" customHeight="1" x14ac:dyDescent="0.25">
      <c r="A3" s="645" t="str">
        <f>'Д-класс'!A1:G1</f>
        <v>Результаты выполнения работы по математике (10 класс, начало 2013/2014)</v>
      </c>
      <c r="B3" s="645"/>
      <c r="C3" s="645"/>
      <c r="D3" s="645"/>
      <c r="E3" s="645"/>
      <c r="F3" s="645"/>
      <c r="G3" s="645"/>
      <c r="H3" s="645"/>
      <c r="I3" s="645"/>
      <c r="J3" s="645"/>
      <c r="K3" s="645"/>
      <c r="L3" s="645"/>
      <c r="M3" s="645"/>
      <c r="N3" s="645"/>
      <c r="O3" s="645"/>
      <c r="P3" s="645"/>
      <c r="Q3" s="109"/>
      <c r="R3" s="109"/>
      <c r="S3" s="109"/>
      <c r="T3" s="109"/>
      <c r="U3" s="109"/>
      <c r="V3" s="109"/>
      <c r="W3" s="109"/>
    </row>
    <row r="4" spans="1:23" ht="37.5" customHeight="1" x14ac:dyDescent="0.2">
      <c r="A4" s="126" t="s">
        <v>90</v>
      </c>
      <c r="B4" s="644">
        <f>'СПИСОК КЛАССА'!E3</f>
        <v>0</v>
      </c>
      <c r="C4" s="644"/>
      <c r="D4" s="644"/>
      <c r="E4" s="644"/>
      <c r="F4" s="644"/>
      <c r="G4" s="644"/>
      <c r="H4" s="644"/>
      <c r="I4" s="644"/>
      <c r="J4" s="125"/>
      <c r="K4" s="657" t="s">
        <v>91</v>
      </c>
      <c r="L4" s="657"/>
      <c r="M4" s="657"/>
      <c r="N4" s="236" t="str">
        <f>'СПИСОК КЛАССА'!J1</f>
        <v>1001</v>
      </c>
      <c r="O4" s="122"/>
      <c r="P4" s="120"/>
      <c r="Q4" s="119"/>
    </row>
    <row r="5" spans="1:23" ht="10.5" customHeight="1" x14ac:dyDescent="0.25">
      <c r="B5" s="122"/>
      <c r="C5" s="122"/>
      <c r="D5" s="650"/>
      <c r="E5" s="650"/>
      <c r="F5" s="650"/>
      <c r="G5" s="303"/>
      <c r="H5" s="176"/>
      <c r="I5" s="650"/>
      <c r="J5" s="650"/>
      <c r="K5" s="650"/>
      <c r="L5" s="650"/>
      <c r="M5" s="377"/>
      <c r="N5" s="377"/>
      <c r="O5" s="122"/>
      <c r="P5" s="122"/>
    </row>
    <row r="6" spans="1:23" ht="15" customHeight="1" x14ac:dyDescent="0.25">
      <c r="A6" s="643" t="s">
        <v>131</v>
      </c>
      <c r="B6" s="643"/>
      <c r="C6" s="643"/>
      <c r="D6" s="121">
        <f>'Ответы учащихся'!E7</f>
        <v>34</v>
      </c>
      <c r="E6" s="377"/>
      <c r="F6" s="377"/>
      <c r="G6" s="303"/>
      <c r="H6" s="176"/>
      <c r="I6" s="650"/>
      <c r="J6" s="650"/>
      <c r="K6" s="650"/>
      <c r="L6" s="650"/>
      <c r="M6" s="377"/>
      <c r="N6" s="377"/>
      <c r="O6" s="122"/>
      <c r="P6" s="122"/>
    </row>
    <row r="7" spans="1:23" ht="10.5" customHeight="1" thickBot="1" x14ac:dyDescent="0.3">
      <c r="A7" s="123"/>
      <c r="B7" s="123"/>
      <c r="C7" s="124"/>
      <c r="D7" s="122"/>
      <c r="E7" s="122"/>
      <c r="F7" s="122"/>
      <c r="G7" s="122"/>
      <c r="H7" s="122"/>
      <c r="I7" s="122"/>
      <c r="J7" s="122"/>
      <c r="K7" s="122"/>
      <c r="L7" s="122"/>
      <c r="M7" s="122"/>
      <c r="N7" s="122"/>
      <c r="O7" s="122"/>
      <c r="P7" s="122"/>
    </row>
    <row r="8" spans="1:23" ht="59.25" customHeight="1" x14ac:dyDescent="0.2">
      <c r="A8" s="664" t="s">
        <v>124</v>
      </c>
      <c r="B8" s="651" t="s">
        <v>92</v>
      </c>
      <c r="C8" s="654" t="s">
        <v>122</v>
      </c>
      <c r="D8" s="648" t="s">
        <v>165</v>
      </c>
      <c r="E8" s="649"/>
      <c r="F8" s="648" t="s">
        <v>166</v>
      </c>
      <c r="G8" s="675"/>
      <c r="H8" s="672" t="s">
        <v>123</v>
      </c>
      <c r="I8" s="658" t="s">
        <v>167</v>
      </c>
      <c r="J8" s="659"/>
      <c r="K8" s="659"/>
      <c r="L8" s="667"/>
      <c r="M8" s="658" t="s">
        <v>166</v>
      </c>
      <c r="N8" s="659"/>
      <c r="O8" s="659"/>
      <c r="P8" s="660"/>
    </row>
    <row r="9" spans="1:23" ht="48.75" customHeight="1" x14ac:dyDescent="0.2">
      <c r="A9" s="665"/>
      <c r="B9" s="652"/>
      <c r="C9" s="655"/>
      <c r="D9" s="670" t="s">
        <v>280</v>
      </c>
      <c r="E9" s="668" t="s">
        <v>127</v>
      </c>
      <c r="F9" s="190" t="s">
        <v>169</v>
      </c>
      <c r="G9" s="127" t="s">
        <v>126</v>
      </c>
      <c r="H9" s="673"/>
      <c r="I9" s="661" t="s">
        <v>168</v>
      </c>
      <c r="J9" s="662"/>
      <c r="K9" s="661" t="s">
        <v>164</v>
      </c>
      <c r="L9" s="662"/>
      <c r="M9" s="661" t="s">
        <v>125</v>
      </c>
      <c r="N9" s="662"/>
      <c r="O9" s="661" t="s">
        <v>126</v>
      </c>
      <c r="P9" s="663"/>
    </row>
    <row r="10" spans="1:23" ht="27.75" customHeight="1" thickBot="1" x14ac:dyDescent="0.25">
      <c r="A10" s="666"/>
      <c r="B10" s="653"/>
      <c r="C10" s="656"/>
      <c r="D10" s="671"/>
      <c r="E10" s="669"/>
      <c r="F10" s="202" t="s">
        <v>127</v>
      </c>
      <c r="G10" s="203" t="s">
        <v>127</v>
      </c>
      <c r="H10" s="674"/>
      <c r="I10" s="204" t="s">
        <v>84</v>
      </c>
      <c r="J10" s="204" t="s">
        <v>127</v>
      </c>
      <c r="K10" s="204" t="s">
        <v>84</v>
      </c>
      <c r="L10" s="204" t="s">
        <v>127</v>
      </c>
      <c r="M10" s="204" t="s">
        <v>84</v>
      </c>
      <c r="N10" s="204" t="s">
        <v>127</v>
      </c>
      <c r="O10" s="204" t="s">
        <v>84</v>
      </c>
      <c r="P10" s="205" t="s">
        <v>127</v>
      </c>
    </row>
    <row r="11" spans="1:23" ht="64.5" customHeight="1" x14ac:dyDescent="0.2">
      <c r="A11" s="358">
        <v>1</v>
      </c>
      <c r="B11" s="359" t="s">
        <v>215</v>
      </c>
      <c r="C11" s="317" t="s">
        <v>237</v>
      </c>
      <c r="D11" s="360">
        <f>Результаты_Класс!BA20</f>
        <v>253</v>
      </c>
      <c r="E11" s="361">
        <f>D11/($D$6*9)</f>
        <v>0.82679738562091498</v>
      </c>
      <c r="F11" s="362">
        <f>Результаты_Класс!BA23/(D6*9)</f>
        <v>0.16013071895424835</v>
      </c>
      <c r="G11" s="363">
        <f>Результаты_Класс!BA26/($D$6*9)</f>
        <v>1.3071895424836602E-2</v>
      </c>
      <c r="H11" s="206">
        <v>19</v>
      </c>
      <c r="I11" s="207">
        <f>Результаты_Класс!Y13</f>
        <v>10</v>
      </c>
      <c r="J11" s="364">
        <f>I11/$D$6</f>
        <v>0.29411764705882354</v>
      </c>
      <c r="K11" s="207">
        <f>Результаты_Класс!Y14+Результаты_Класс!Y15+Результаты_Класс!Y16+Результаты_Класс!Y17</f>
        <v>16</v>
      </c>
      <c r="L11" s="364">
        <f>K11/$D$6</f>
        <v>0.47058823529411764</v>
      </c>
      <c r="M11" s="207">
        <f>Результаты_Класс!Y18</f>
        <v>0</v>
      </c>
      <c r="N11" s="364">
        <f>M11/$D$6</f>
        <v>0</v>
      </c>
      <c r="O11" s="207">
        <f>Результаты_Класс!Y19</f>
        <v>8</v>
      </c>
      <c r="P11" s="365">
        <f>O11/$D$6</f>
        <v>0.23529411764705882</v>
      </c>
      <c r="Q11" s="199"/>
      <c r="R11" s="199"/>
      <c r="T11" s="130"/>
    </row>
    <row r="12" spans="1:23" ht="50.25" customHeight="1" x14ac:dyDescent="0.2">
      <c r="A12" s="187">
        <v>2</v>
      </c>
      <c r="B12" s="189" t="s">
        <v>216</v>
      </c>
      <c r="C12" s="188" t="s">
        <v>238</v>
      </c>
      <c r="D12" s="197">
        <f>Результаты_Класс!BA21</f>
        <v>129</v>
      </c>
      <c r="E12" s="198">
        <f>D12/($D$6*6)</f>
        <v>0.63235294117647056</v>
      </c>
      <c r="F12" s="200">
        <f>Результаты_Класс!BA24/(D6*6)</f>
        <v>0.31372549019607843</v>
      </c>
      <c r="G12" s="201">
        <f>Результаты_Класс!BA27/($D$6*6)</f>
        <v>5.3921568627450983E-2</v>
      </c>
      <c r="H12" s="128">
        <v>20</v>
      </c>
      <c r="I12" s="129">
        <f>Результаты_Класс!AA14</f>
        <v>17</v>
      </c>
      <c r="J12" s="304">
        <f>I12/$D$6</f>
        <v>0.5</v>
      </c>
      <c r="K12" s="129">
        <f>Результаты_Класс!AA15+Результаты_Класс!AA16+Результаты_Класс!AA17</f>
        <v>2</v>
      </c>
      <c r="L12" s="304">
        <f>K12/$D$6</f>
        <v>5.8823529411764705E-2</v>
      </c>
      <c r="M12" s="129">
        <f>Результаты_Класс!AA18</f>
        <v>0</v>
      </c>
      <c r="N12" s="304">
        <f>M12/$D$6</f>
        <v>0</v>
      </c>
      <c r="O12" s="129">
        <f>Результаты_Класс!AA19</f>
        <v>15</v>
      </c>
      <c r="P12" s="366">
        <f>O12/$D$6</f>
        <v>0.44117647058823528</v>
      </c>
      <c r="Q12" s="199"/>
      <c r="R12" s="199"/>
      <c r="T12" s="130"/>
    </row>
    <row r="13" spans="1:23" ht="42" customHeight="1" thickBot="1" x14ac:dyDescent="0.25">
      <c r="A13" s="367">
        <v>3</v>
      </c>
      <c r="B13" s="368" t="s">
        <v>217</v>
      </c>
      <c r="C13" s="369" t="s">
        <v>218</v>
      </c>
      <c r="D13" s="370">
        <f>Результаты_Класс!BA22</f>
        <v>91</v>
      </c>
      <c r="E13" s="371">
        <f>D13/($D$6*3)</f>
        <v>0.89215686274509809</v>
      </c>
      <c r="F13" s="371">
        <f>Результаты_Класс!BA25/(D6*3)</f>
        <v>6.8627450980392163E-2</v>
      </c>
      <c r="G13" s="372">
        <f>Результаты_Класс!BA28/($D$6*3)</f>
        <v>3.9215686274509803E-2</v>
      </c>
      <c r="H13" s="373">
        <v>21</v>
      </c>
      <c r="I13" s="374">
        <f>Результаты_Класс!AB14</f>
        <v>10</v>
      </c>
      <c r="J13" s="375">
        <f>I13/$D$6</f>
        <v>0.29411764705882354</v>
      </c>
      <c r="K13" s="374">
        <f>Результаты_Класс!AB15+Результаты_Класс!AB16+Результаты_Класс!AB17</f>
        <v>2</v>
      </c>
      <c r="L13" s="375">
        <f>K13/$D$6</f>
        <v>5.8823529411764705E-2</v>
      </c>
      <c r="M13" s="374">
        <f>Результаты_Класс!AB18</f>
        <v>0</v>
      </c>
      <c r="N13" s="375">
        <f>M13/$D$6</f>
        <v>0</v>
      </c>
      <c r="O13" s="374">
        <f>Результаты_Класс!AB19</f>
        <v>22</v>
      </c>
      <c r="P13" s="376">
        <f>O13/$D$6</f>
        <v>0.6470588235294118</v>
      </c>
      <c r="Q13" s="199"/>
      <c r="R13" s="199"/>
      <c r="T13" s="130"/>
    </row>
    <row r="15" spans="1:23" x14ac:dyDescent="0.2">
      <c r="J15" s="130"/>
    </row>
    <row r="16" spans="1:23" ht="37.5" customHeight="1" x14ac:dyDescent="0.2">
      <c r="C16" s="113"/>
      <c r="G16" s="113"/>
    </row>
    <row r="18" ht="34.5" customHeight="1" x14ac:dyDescent="0.2"/>
  </sheetData>
  <sheetProtection password="C62D" sheet="1" scenarios="1" selectLockedCells="1" selectUnlockedCells="1"/>
  <mergeCells count="21">
    <mergeCell ref="A3:P3"/>
    <mergeCell ref="B4:I4"/>
    <mergeCell ref="K4:M4"/>
    <mergeCell ref="M8:P8"/>
    <mergeCell ref="M9:N9"/>
    <mergeCell ref="O9:P9"/>
    <mergeCell ref="I6:L6"/>
    <mergeCell ref="A8:A10"/>
    <mergeCell ref="I8:L8"/>
    <mergeCell ref="E9:E10"/>
    <mergeCell ref="D9:D10"/>
    <mergeCell ref="I9:J9"/>
    <mergeCell ref="K9:L9"/>
    <mergeCell ref="I5:L5"/>
    <mergeCell ref="H8:H10"/>
    <mergeCell ref="F8:G8"/>
    <mergeCell ref="D8:E8"/>
    <mergeCell ref="D5:F5"/>
    <mergeCell ref="B8:B10"/>
    <mergeCell ref="C8:C10"/>
    <mergeCell ref="A6:C6"/>
  </mergeCells>
  <pageMargins left="0.7" right="0.7" top="0.75" bottom="0.75" header="0.3" footer="0.3"/>
  <pageSetup paperSize="9" orientation="landscape" r:id="rId1"/>
  <headerFooter>
    <oddHeader>&amp;CКГБУ "Региональный центр оценки качества образования"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H107"/>
  <sheetViews>
    <sheetView view="pageLayout" zoomScaleNormal="90" workbookViewId="0">
      <selection activeCell="B44" sqref="B44:F44"/>
    </sheetView>
  </sheetViews>
  <sheetFormatPr defaultRowHeight="12.75" x14ac:dyDescent="0.2"/>
  <cols>
    <col min="1" max="1" width="28.85546875" style="38" customWidth="1"/>
    <col min="2" max="2" width="13.28515625" customWidth="1"/>
    <col min="3" max="3" width="10.85546875" customWidth="1"/>
    <col min="5" max="5" width="12.28515625" customWidth="1"/>
    <col min="7" max="7" width="12" customWidth="1"/>
    <col min="8" max="8" width="19.5703125" customWidth="1"/>
    <col min="9" max="9" width="31.28515625" customWidth="1"/>
    <col min="10" max="10" width="27.85546875" customWidth="1"/>
    <col min="11" max="11" width="37.7109375" customWidth="1"/>
  </cols>
  <sheetData>
    <row r="1" spans="1:8" ht="16.5" thickBot="1" x14ac:dyDescent="0.3">
      <c r="A1" s="18"/>
      <c r="B1" s="20" t="str">
        <f>IF(NOT(ISBLANK('СПИСОК КЛАССА'!F1)),'СПИСОК КЛАССА'!F1,"")</f>
        <v/>
      </c>
      <c r="C1" s="517" t="s">
        <v>0</v>
      </c>
      <c r="D1" s="518"/>
      <c r="E1" s="19" t="str">
        <f>IF(NOT(ISBLANK('СПИСОК КЛАССА'!H1)),'СПИСОК КЛАССА'!H1,"")</f>
        <v>138066</v>
      </c>
      <c r="F1" s="517" t="s">
        <v>1</v>
      </c>
      <c r="G1" s="518"/>
      <c r="H1" s="19" t="str">
        <f>IF(NOT(ISBLANK('СПИСОК КЛАССА'!J1)),'СПИСОК КЛАССА'!J1,"")</f>
        <v>1001</v>
      </c>
    </row>
    <row r="2" spans="1:8" x14ac:dyDescent="0.2">
      <c r="A2" s="22"/>
      <c r="B2" s="21"/>
      <c r="C2" s="21"/>
      <c r="D2" s="21"/>
      <c r="E2" s="21"/>
      <c r="F2" s="21"/>
      <c r="G2" s="21"/>
      <c r="H2" s="21"/>
    </row>
    <row r="3" spans="1:8" ht="13.5" thickBot="1" x14ac:dyDescent="0.25">
      <c r="A3" s="22"/>
      <c r="B3" s="21"/>
      <c r="C3" s="21"/>
      <c r="D3" s="21"/>
      <c r="E3" s="21"/>
      <c r="F3" s="21"/>
      <c r="G3" s="21"/>
      <c r="H3" s="21"/>
    </row>
    <row r="4" spans="1:8" ht="16.5" thickBot="1" x14ac:dyDescent="0.3">
      <c r="A4" s="519" t="s">
        <v>240</v>
      </c>
      <c r="B4" s="520"/>
      <c r="C4" s="520"/>
      <c r="D4" s="520"/>
      <c r="E4" s="520"/>
      <c r="F4" s="520"/>
      <c r="G4" s="520"/>
      <c r="H4" s="521"/>
    </row>
    <row r="5" spans="1:8" ht="6" customHeight="1" thickBot="1" x14ac:dyDescent="0.25">
      <c r="A5" s="23"/>
      <c r="B5" s="24"/>
      <c r="C5" s="25"/>
      <c r="D5" s="25"/>
      <c r="E5" s="25"/>
      <c r="F5" s="25"/>
      <c r="G5" s="25"/>
      <c r="H5" s="26"/>
    </row>
    <row r="6" spans="1:8" ht="18" customHeight="1" thickBot="1" x14ac:dyDescent="0.25">
      <c r="A6" s="23" t="s">
        <v>27</v>
      </c>
      <c r="C6" s="499" t="s">
        <v>320</v>
      </c>
      <c r="D6" s="500"/>
      <c r="E6" s="500"/>
      <c r="F6" s="500"/>
      <c r="G6" s="501"/>
      <c r="H6" s="26"/>
    </row>
    <row r="7" spans="1:8" ht="6" customHeight="1" x14ac:dyDescent="0.2">
      <c r="A7" s="23"/>
      <c r="B7" s="24"/>
      <c r="C7" s="25"/>
      <c r="D7" s="25"/>
      <c r="E7" s="25"/>
      <c r="F7" s="25"/>
      <c r="G7" s="25"/>
      <c r="H7" s="26"/>
    </row>
    <row r="8" spans="1:8" ht="6" customHeight="1" x14ac:dyDescent="0.2">
      <c r="A8" s="27"/>
      <c r="B8" s="28"/>
      <c r="C8" s="29"/>
      <c r="D8" s="29"/>
      <c r="E8" s="29"/>
      <c r="F8" s="29"/>
      <c r="G8" s="29"/>
      <c r="H8" s="30"/>
    </row>
    <row r="9" spans="1:8" ht="6" customHeight="1" thickBot="1" x14ac:dyDescent="0.25">
      <c r="A9" s="23"/>
      <c r="B9" s="24"/>
      <c r="C9" s="25"/>
      <c r="D9" s="25"/>
      <c r="E9" s="25"/>
      <c r="F9" s="25"/>
      <c r="G9" s="25"/>
      <c r="H9" s="26"/>
    </row>
    <row r="10" spans="1:8" ht="20.25" customHeight="1" thickBot="1" x14ac:dyDescent="0.25">
      <c r="A10" s="23" t="s">
        <v>28</v>
      </c>
      <c r="C10" s="499" t="s">
        <v>321</v>
      </c>
      <c r="D10" s="500"/>
      <c r="E10" s="500"/>
      <c r="F10" s="500"/>
      <c r="G10" s="501"/>
      <c r="H10" s="26"/>
    </row>
    <row r="11" spans="1:8" ht="6" customHeight="1" x14ac:dyDescent="0.2">
      <c r="A11" s="23"/>
      <c r="B11" s="24"/>
      <c r="C11" s="16"/>
      <c r="D11" s="16"/>
      <c r="E11" s="16"/>
      <c r="F11" s="16"/>
      <c r="G11" s="25"/>
      <c r="H11" s="26"/>
    </row>
    <row r="12" spans="1:8" ht="6" customHeight="1" x14ac:dyDescent="0.2">
      <c r="A12" s="27"/>
      <c r="B12" s="28"/>
      <c r="C12" s="29"/>
      <c r="D12" s="29"/>
      <c r="E12" s="29"/>
      <c r="F12" s="29"/>
      <c r="G12" s="29"/>
      <c r="H12" s="30"/>
    </row>
    <row r="13" spans="1:8" ht="6" customHeight="1" thickBot="1" x14ac:dyDescent="0.25">
      <c r="A13" s="23"/>
      <c r="B13" s="24"/>
      <c r="C13" s="25"/>
      <c r="D13" s="25"/>
      <c r="E13" s="25"/>
      <c r="F13" s="25"/>
      <c r="G13" s="25"/>
      <c r="H13" s="26"/>
    </row>
    <row r="14" spans="1:8" ht="12" customHeight="1" thickBot="1" x14ac:dyDescent="0.25">
      <c r="A14" s="23" t="s">
        <v>29</v>
      </c>
      <c r="C14" s="499"/>
      <c r="D14" s="500"/>
      <c r="E14" s="500"/>
      <c r="F14" s="500"/>
      <c r="G14" s="501"/>
      <c r="H14" s="26"/>
    </row>
    <row r="15" spans="1:8" ht="6.75" customHeight="1" thickBot="1" x14ac:dyDescent="0.25">
      <c r="A15" s="23"/>
      <c r="B15" s="21"/>
      <c r="C15" s="31"/>
      <c r="D15" s="32"/>
      <c r="E15" s="32"/>
      <c r="F15" s="32"/>
      <c r="G15" s="32"/>
      <c r="H15" s="26"/>
    </row>
    <row r="16" spans="1:8" ht="36" customHeight="1" thickBot="1" x14ac:dyDescent="0.25">
      <c r="A16" s="23"/>
      <c r="B16" s="21"/>
      <c r="C16" s="499" t="s">
        <v>322</v>
      </c>
      <c r="D16" s="500"/>
      <c r="E16" s="500"/>
      <c r="F16" s="500"/>
      <c r="G16" s="501"/>
      <c r="H16" s="26"/>
    </row>
    <row r="17" spans="1:8" ht="6" customHeight="1" x14ac:dyDescent="0.2">
      <c r="A17" s="23"/>
      <c r="B17" s="24"/>
      <c r="C17" s="33"/>
      <c r="D17" s="25"/>
      <c r="E17" s="34"/>
      <c r="F17" s="16"/>
      <c r="G17" s="34"/>
      <c r="H17" s="35"/>
    </row>
    <row r="18" spans="1:8" ht="6" customHeight="1" x14ac:dyDescent="0.2">
      <c r="A18" s="27"/>
      <c r="B18" s="28"/>
      <c r="C18" s="29"/>
      <c r="D18" s="29"/>
      <c r="E18" s="29"/>
      <c r="F18" s="29"/>
      <c r="G18" s="29"/>
      <c r="H18" s="30"/>
    </row>
    <row r="19" spans="1:8" ht="6" customHeight="1" thickBot="1" x14ac:dyDescent="0.25">
      <c r="A19" s="23"/>
      <c r="B19" s="24"/>
      <c r="C19" s="25"/>
      <c r="D19" s="25"/>
      <c r="E19" s="34"/>
      <c r="F19" s="16"/>
      <c r="G19" s="34"/>
      <c r="H19" s="35"/>
    </row>
    <row r="20" spans="1:8" ht="14.25" customHeight="1" thickBot="1" x14ac:dyDescent="0.25">
      <c r="A20" s="23" t="s">
        <v>30</v>
      </c>
      <c r="B20" s="25"/>
      <c r="C20" s="502">
        <v>41548</v>
      </c>
      <c r="D20" s="503"/>
      <c r="E20" s="25"/>
      <c r="F20" s="25"/>
      <c r="G20" s="25"/>
      <c r="H20" s="26"/>
    </row>
    <row r="21" spans="1:8" ht="6" customHeight="1" x14ac:dyDescent="0.2">
      <c r="A21" s="23"/>
      <c r="B21" s="33"/>
      <c r="C21" s="24"/>
      <c r="D21" s="25"/>
      <c r="E21" s="25"/>
      <c r="F21" s="25"/>
      <c r="G21" s="25"/>
      <c r="H21" s="26"/>
    </row>
    <row r="22" spans="1:8" ht="6" customHeight="1" x14ac:dyDescent="0.2">
      <c r="A22" s="27"/>
      <c r="B22" s="28"/>
      <c r="C22" s="29"/>
      <c r="D22" s="29"/>
      <c r="E22" s="29"/>
      <c r="F22" s="29"/>
      <c r="G22" s="29"/>
      <c r="H22" s="30"/>
    </row>
    <row r="23" spans="1:8" ht="12" customHeight="1" x14ac:dyDescent="0.2">
      <c r="A23" s="23" t="s">
        <v>31</v>
      </c>
      <c r="B23" s="25"/>
      <c r="C23" s="24" t="s">
        <v>32</v>
      </c>
      <c r="D23" s="25"/>
      <c r="E23" s="24" t="s">
        <v>33</v>
      </c>
      <c r="F23" s="25"/>
      <c r="G23" s="25"/>
      <c r="H23" s="26"/>
    </row>
    <row r="24" spans="1:8" ht="2.25" customHeight="1" thickBot="1" x14ac:dyDescent="0.25">
      <c r="A24" s="23"/>
      <c r="B24" s="25"/>
      <c r="C24" s="25"/>
      <c r="D24" s="25"/>
      <c r="E24" s="25"/>
      <c r="F24" s="25"/>
      <c r="G24" s="25"/>
      <c r="H24" s="26"/>
    </row>
    <row r="25" spans="1:8" ht="12" customHeight="1" thickBot="1" x14ac:dyDescent="0.25">
      <c r="A25" s="321"/>
      <c r="B25" s="39" t="s">
        <v>34</v>
      </c>
      <c r="C25" s="469">
        <v>42278</v>
      </c>
      <c r="D25" s="25"/>
      <c r="E25" s="469">
        <v>45931</v>
      </c>
      <c r="F25" s="25"/>
      <c r="G25" s="25"/>
      <c r="H25" s="26"/>
    </row>
    <row r="26" spans="1:8" ht="6" customHeight="1" thickBot="1" x14ac:dyDescent="0.25">
      <c r="A26" s="23"/>
      <c r="B26" s="40"/>
      <c r="C26" s="25"/>
      <c r="D26" s="25"/>
      <c r="E26" s="25"/>
      <c r="F26" s="25"/>
      <c r="G26" s="25"/>
      <c r="H26" s="26"/>
    </row>
    <row r="27" spans="1:8" ht="12" customHeight="1" thickBot="1" x14ac:dyDescent="0.25">
      <c r="A27" s="321"/>
      <c r="B27" s="39" t="s">
        <v>35</v>
      </c>
      <c r="C27" s="469">
        <v>45931</v>
      </c>
      <c r="D27" s="25"/>
      <c r="E27" s="470">
        <v>41559</v>
      </c>
      <c r="F27" s="25"/>
      <c r="G27" s="25"/>
      <c r="H27" s="26"/>
    </row>
    <row r="28" spans="1:8" ht="6" customHeight="1" x14ac:dyDescent="0.2">
      <c r="A28" s="23"/>
      <c r="B28" s="24"/>
      <c r="C28" s="25"/>
      <c r="D28" s="25"/>
      <c r="E28" s="25"/>
      <c r="F28" s="25"/>
      <c r="G28" s="25"/>
      <c r="H28" s="26"/>
    </row>
    <row r="29" spans="1:8" ht="6" customHeight="1" x14ac:dyDescent="0.2">
      <c r="A29" s="27"/>
      <c r="B29" s="28"/>
      <c r="C29" s="29"/>
      <c r="D29" s="29"/>
      <c r="E29" s="29"/>
      <c r="F29" s="29"/>
      <c r="G29" s="29"/>
      <c r="H29" s="30"/>
    </row>
    <row r="30" spans="1:8" ht="26.25" customHeight="1" x14ac:dyDescent="0.2">
      <c r="A30" s="504" t="s">
        <v>36</v>
      </c>
      <c r="B30" s="512"/>
      <c r="C30" s="512"/>
      <c r="D30" s="512"/>
      <c r="E30" s="512"/>
      <c r="F30" s="512"/>
      <c r="G30" s="512"/>
      <c r="H30" s="513"/>
    </row>
    <row r="31" spans="1:8" ht="7.5" customHeight="1" thickBot="1" x14ac:dyDescent="0.25">
      <c r="A31" s="41"/>
      <c r="B31" s="42"/>
      <c r="C31" s="42"/>
      <c r="D31" s="42"/>
      <c r="E31" s="42"/>
      <c r="F31" s="42"/>
      <c r="G31" s="42"/>
      <c r="H31" s="35"/>
    </row>
    <row r="32" spans="1:8" ht="12" customHeight="1" thickBot="1" x14ac:dyDescent="0.25">
      <c r="A32" s="23"/>
      <c r="B32" s="42"/>
      <c r="C32" s="43" t="s">
        <v>294</v>
      </c>
      <c r="E32" s="42"/>
      <c r="F32" s="42"/>
      <c r="G32" s="25"/>
      <c r="H32" s="26"/>
    </row>
    <row r="33" spans="1:8" ht="12" customHeight="1" thickBot="1" x14ac:dyDescent="0.25">
      <c r="A33" s="23"/>
      <c r="B33" s="42"/>
      <c r="C33" s="42"/>
      <c r="D33" s="42"/>
      <c r="E33" s="42"/>
      <c r="F33" s="42"/>
      <c r="G33" s="25"/>
      <c r="H33" s="26"/>
    </row>
    <row r="34" spans="1:8" ht="71.25" customHeight="1" thickBot="1" x14ac:dyDescent="0.25">
      <c r="A34" s="23"/>
      <c r="B34" s="44" t="s">
        <v>37</v>
      </c>
      <c r="C34" s="514" t="s">
        <v>323</v>
      </c>
      <c r="D34" s="515"/>
      <c r="E34" s="515"/>
      <c r="F34" s="515"/>
      <c r="G34" s="516"/>
      <c r="H34" s="26"/>
    </row>
    <row r="35" spans="1:8" ht="6" customHeight="1" x14ac:dyDescent="0.2">
      <c r="A35" s="23"/>
      <c r="B35" s="24"/>
      <c r="C35" s="25"/>
      <c r="D35" s="25"/>
      <c r="E35" s="25"/>
      <c r="F35" s="25"/>
      <c r="G35" s="25"/>
      <c r="H35" s="26"/>
    </row>
    <row r="36" spans="1:8" ht="6" customHeight="1" x14ac:dyDescent="0.2">
      <c r="A36" s="27"/>
      <c r="B36" s="28"/>
      <c r="C36" s="29"/>
      <c r="D36" s="29"/>
      <c r="E36" s="29"/>
      <c r="F36" s="29"/>
      <c r="G36" s="29"/>
      <c r="H36" s="30"/>
    </row>
    <row r="37" spans="1:8" ht="13.5" customHeight="1" x14ac:dyDescent="0.2">
      <c r="A37" s="504" t="s">
        <v>38</v>
      </c>
      <c r="B37" s="505"/>
      <c r="C37" s="505"/>
      <c r="D37" s="505"/>
      <c r="E37" s="505"/>
      <c r="F37" s="505"/>
      <c r="G37" s="505"/>
      <c r="H37" s="506"/>
    </row>
    <row r="38" spans="1:8" ht="8.25" customHeight="1" thickBot="1" x14ac:dyDescent="0.25">
      <c r="A38" s="41"/>
      <c r="B38" s="42"/>
      <c r="C38" s="42"/>
      <c r="D38" s="42"/>
      <c r="E38" s="42"/>
      <c r="F38" s="42"/>
      <c r="G38" s="42"/>
      <c r="H38" s="35"/>
    </row>
    <row r="39" spans="1:8" ht="57" customHeight="1" thickBot="1" x14ac:dyDescent="0.25">
      <c r="A39" s="23"/>
      <c r="B39" s="507" t="s">
        <v>324</v>
      </c>
      <c r="C39" s="508"/>
      <c r="D39" s="508"/>
      <c r="E39" s="508"/>
      <c r="F39" s="509"/>
      <c r="G39" s="25"/>
      <c r="H39" s="26"/>
    </row>
    <row r="40" spans="1:8" ht="6" customHeight="1" x14ac:dyDescent="0.2">
      <c r="A40" s="23"/>
      <c r="B40" s="24"/>
      <c r="C40" s="25"/>
      <c r="D40" s="25"/>
      <c r="E40" s="25"/>
      <c r="F40" s="25"/>
      <c r="G40" s="25"/>
      <c r="H40" s="26"/>
    </row>
    <row r="41" spans="1:8" ht="6" customHeight="1" x14ac:dyDescent="0.2">
      <c r="A41" s="27"/>
      <c r="B41" s="28"/>
      <c r="C41" s="29"/>
      <c r="D41" s="29"/>
      <c r="E41" s="29"/>
      <c r="F41" s="29"/>
      <c r="G41" s="29"/>
      <c r="H41" s="30"/>
    </row>
    <row r="42" spans="1:8" ht="13.5" customHeight="1" x14ac:dyDescent="0.2">
      <c r="A42" s="504" t="s">
        <v>150</v>
      </c>
      <c r="B42" s="505"/>
      <c r="C42" s="505"/>
      <c r="D42" s="505"/>
      <c r="E42" s="505"/>
      <c r="F42" s="505"/>
      <c r="G42" s="505"/>
      <c r="H42" s="506"/>
    </row>
    <row r="43" spans="1:8" ht="8.25" customHeight="1" thickBot="1" x14ac:dyDescent="0.25">
      <c r="A43" s="41"/>
      <c r="B43" s="42"/>
      <c r="C43" s="42"/>
      <c r="D43" s="42"/>
      <c r="E43" s="42"/>
      <c r="F43" s="42"/>
      <c r="G43" s="42"/>
      <c r="H43" s="35"/>
    </row>
    <row r="44" spans="1:8" ht="134.25" customHeight="1" thickBot="1" x14ac:dyDescent="0.25">
      <c r="A44" s="23"/>
      <c r="B44" s="507" t="s">
        <v>325</v>
      </c>
      <c r="C44" s="508"/>
      <c r="D44" s="508"/>
      <c r="E44" s="508"/>
      <c r="F44" s="509"/>
      <c r="G44" s="25"/>
      <c r="H44" s="26"/>
    </row>
    <row r="45" spans="1:8" ht="6" customHeight="1" x14ac:dyDescent="0.2">
      <c r="A45" s="23"/>
      <c r="B45" s="24"/>
      <c r="C45" s="25"/>
      <c r="D45" s="25"/>
      <c r="E45" s="25"/>
      <c r="F45" s="25"/>
      <c r="G45" s="25"/>
      <c r="H45" s="26"/>
    </row>
    <row r="46" spans="1:8" ht="6" customHeight="1" thickBot="1" x14ac:dyDescent="0.25">
      <c r="A46" s="27"/>
      <c r="B46" s="28"/>
      <c r="C46" s="29"/>
      <c r="D46" s="29"/>
      <c r="E46" s="29"/>
      <c r="F46" s="29"/>
      <c r="G46" s="29"/>
      <c r="H46" s="30"/>
    </row>
    <row r="47" spans="1:8" ht="21" customHeight="1" x14ac:dyDescent="0.3">
      <c r="A47" s="510" t="s">
        <v>39</v>
      </c>
      <c r="B47" s="511"/>
      <c r="C47" s="511"/>
      <c r="D47" s="511"/>
      <c r="E47" s="511"/>
      <c r="F47" s="511"/>
      <c r="G47" s="511"/>
      <c r="H47" s="511"/>
    </row>
    <row r="48" spans="1:8" x14ac:dyDescent="0.2">
      <c r="A48" s="22"/>
      <c r="B48" s="21"/>
      <c r="C48" s="21"/>
      <c r="D48" s="21"/>
      <c r="E48" s="21"/>
      <c r="F48" s="21"/>
      <c r="G48" s="21"/>
      <c r="H48" s="21"/>
    </row>
    <row r="49" spans="1:8" x14ac:dyDescent="0.2">
      <c r="A49" s="22"/>
      <c r="B49" s="21"/>
      <c r="C49" s="21"/>
      <c r="D49" s="21"/>
      <c r="E49" s="21"/>
      <c r="F49" s="21"/>
      <c r="G49" s="21"/>
      <c r="H49" s="21"/>
    </row>
    <row r="50" spans="1:8" x14ac:dyDescent="0.2">
      <c r="A50"/>
    </row>
    <row r="51" spans="1:8" x14ac:dyDescent="0.2">
      <c r="A51"/>
    </row>
    <row r="52" spans="1:8" x14ac:dyDescent="0.2">
      <c r="A52"/>
    </row>
    <row r="53" spans="1:8" x14ac:dyDescent="0.2">
      <c r="A53"/>
    </row>
    <row r="54" spans="1:8" x14ac:dyDescent="0.2">
      <c r="A54"/>
    </row>
    <row r="55" spans="1:8" x14ac:dyDescent="0.2">
      <c r="A55"/>
    </row>
    <row r="56" spans="1:8" x14ac:dyDescent="0.2">
      <c r="A56"/>
    </row>
    <row r="57" spans="1:8" x14ac:dyDescent="0.2">
      <c r="A57"/>
    </row>
    <row r="58" spans="1:8" x14ac:dyDescent="0.2">
      <c r="A58"/>
    </row>
    <row r="59" spans="1:8" x14ac:dyDescent="0.2">
      <c r="A59"/>
    </row>
    <row r="60" spans="1:8" hidden="1" x14ac:dyDescent="0.2">
      <c r="A60"/>
      <c r="B60" t="s">
        <v>41</v>
      </c>
      <c r="C60" t="s">
        <v>42</v>
      </c>
      <c r="D60" t="s">
        <v>40</v>
      </c>
      <c r="E60" t="s">
        <v>43</v>
      </c>
      <c r="F60" t="s">
        <v>44</v>
      </c>
    </row>
    <row r="61" spans="1:8" hidden="1" x14ac:dyDescent="0.2">
      <c r="A61"/>
      <c r="B61" t="s">
        <v>45</v>
      </c>
      <c r="C61" t="s">
        <v>46</v>
      </c>
      <c r="D61" t="s">
        <v>47</v>
      </c>
      <c r="E61" t="s">
        <v>48</v>
      </c>
      <c r="F61" t="s">
        <v>49</v>
      </c>
    </row>
    <row r="62" spans="1:8" hidden="1" x14ac:dyDescent="0.2">
      <c r="A62"/>
      <c r="B62" t="s">
        <v>50</v>
      </c>
      <c r="C62" t="s">
        <v>51</v>
      </c>
      <c r="D62" t="s">
        <v>52</v>
      </c>
      <c r="E62" t="s">
        <v>53</v>
      </c>
      <c r="F62" t="s">
        <v>54</v>
      </c>
    </row>
    <row r="63" spans="1:8" hidden="1" x14ac:dyDescent="0.2">
      <c r="A63"/>
      <c r="B63" t="s">
        <v>55</v>
      </c>
      <c r="C63" t="s">
        <v>56</v>
      </c>
      <c r="D63" t="s">
        <v>57</v>
      </c>
      <c r="E63" t="s">
        <v>58</v>
      </c>
      <c r="F63" t="s">
        <v>59</v>
      </c>
    </row>
    <row r="64" spans="1:8" hidden="1" x14ac:dyDescent="0.2">
      <c r="A64"/>
    </row>
    <row r="65" spans="1:6" hidden="1" x14ac:dyDescent="0.2">
      <c r="A65"/>
    </row>
    <row r="66" spans="1:6" hidden="1" x14ac:dyDescent="0.2">
      <c r="A66"/>
      <c r="B66" t="s">
        <v>60</v>
      </c>
      <c r="D66" t="s">
        <v>61</v>
      </c>
      <c r="E66" t="s">
        <v>62</v>
      </c>
      <c r="F66" t="s">
        <v>63</v>
      </c>
    </row>
    <row r="67" spans="1:6" hidden="1" x14ac:dyDescent="0.2">
      <c r="A67"/>
      <c r="B67" t="s">
        <v>64</v>
      </c>
      <c r="D67" t="s">
        <v>65</v>
      </c>
      <c r="E67" t="s">
        <v>66</v>
      </c>
      <c r="F67" t="s">
        <v>67</v>
      </c>
    </row>
    <row r="68" spans="1:6" hidden="1" x14ac:dyDescent="0.2">
      <c r="A68"/>
    </row>
    <row r="69" spans="1:6" x14ac:dyDescent="0.2">
      <c r="A69"/>
    </row>
    <row r="70" spans="1:6" x14ac:dyDescent="0.2">
      <c r="A70"/>
    </row>
    <row r="71" spans="1:6" x14ac:dyDescent="0.2">
      <c r="A71"/>
    </row>
    <row r="72" spans="1:6" x14ac:dyDescent="0.2">
      <c r="A72"/>
    </row>
    <row r="73" spans="1:6" x14ac:dyDescent="0.2">
      <c r="A73"/>
    </row>
    <row r="74" spans="1:6" x14ac:dyDescent="0.2">
      <c r="A74"/>
    </row>
    <row r="75" spans="1:6" x14ac:dyDescent="0.2">
      <c r="A75"/>
    </row>
    <row r="76" spans="1:6" x14ac:dyDescent="0.2">
      <c r="A76"/>
    </row>
    <row r="77" spans="1:6" x14ac:dyDescent="0.2">
      <c r="A77"/>
    </row>
    <row r="78" spans="1:6" x14ac:dyDescent="0.2">
      <c r="A78"/>
    </row>
    <row r="79" spans="1:6" x14ac:dyDescent="0.2">
      <c r="A79"/>
    </row>
    <row r="80" spans="1:6"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sheetData>
  <sheetProtection password="C62D" sheet="1" objects="1" scenarios="1" selectLockedCells="1"/>
  <protectedRanges>
    <protectedRange sqref="C6" name="Диапазон3"/>
    <protectedRange sqref="C10" name="Диапазон4"/>
    <protectedRange sqref="C14" name="Диапазон5"/>
    <protectedRange sqref="C16" name="Диапазон6"/>
    <protectedRange sqref="C20" name="Диапазон7"/>
    <protectedRange sqref="C25 E25 C27 E27" name="Диапазон8"/>
    <protectedRange sqref="C32 C34 B39 B44" name="Диапазон9"/>
  </protectedRanges>
  <customSheetViews>
    <customSheetView guid="{BFE542F4-8A0C-4C42-A5CA-C7B0ACF2717E}" scale="85" hiddenRows="1">
      <selection activeCell="AA6" sqref="AA6"/>
      <pageMargins left="0.35433070866141736" right="0.35433070866141736" top="0.97395833333333337" bottom="0.39370078740157483" header="0.51181102362204722" footer="0.51181102362204722"/>
      <pageSetup paperSize="9" scale="85" fitToWidth="0" fitToHeight="0" orientation="portrait" verticalDpi="0" r:id="rId1"/>
      <headerFooter alignWithMargins="0">
        <oddHeader>&amp;CКГБУ "Региональный центр оценки качества образования"</oddHeader>
      </headerFooter>
    </customSheetView>
  </customSheetViews>
  <mergeCells count="15">
    <mergeCell ref="C1:D1"/>
    <mergeCell ref="F1:G1"/>
    <mergeCell ref="A4:H4"/>
    <mergeCell ref="C6:G6"/>
    <mergeCell ref="C10:G10"/>
    <mergeCell ref="A47:H47"/>
    <mergeCell ref="A30:H30"/>
    <mergeCell ref="C34:G34"/>
    <mergeCell ref="A37:H37"/>
    <mergeCell ref="B39:F39"/>
    <mergeCell ref="C14:G14"/>
    <mergeCell ref="C16:G16"/>
    <mergeCell ref="C20:D20"/>
    <mergeCell ref="A42:H42"/>
    <mergeCell ref="B44:F44"/>
  </mergeCells>
  <phoneticPr fontId="0" type="noConversion"/>
  <conditionalFormatting sqref="C6 C10 C14 B1:C1 H1 E1:F1 E27 B39:F39 C32 C20 C25 C27 E25 B44:F44">
    <cfRule type="expression" dxfId="7" priority="1" stopIfTrue="1">
      <formula>ISBLANK(B1)</formula>
    </cfRule>
  </conditionalFormatting>
  <conditionalFormatting sqref="C16:G16">
    <cfRule type="expression" dxfId="6" priority="2" stopIfTrue="1">
      <formula>AND(ISBLANK(C16),C14="Другое. Запишите, пожалуйста:")</formula>
    </cfRule>
  </conditionalFormatting>
  <conditionalFormatting sqref="C34:G34">
    <cfRule type="expression" dxfId="5" priority="3" stopIfTrue="1">
      <formula>AND(ISBLANK(C34),C32="ДА")</formula>
    </cfRule>
  </conditionalFormatting>
  <dataValidations count="16">
    <dataValidation type="whole" allowBlank="1" showInputMessage="1" showErrorMessage="1" promptTitle="Число учащихся в классе" prompt="Введите количество учащихся в классе" sqref="B17">
      <formula1>1</formula1>
      <formula2>40</formula2>
    </dataValidation>
    <dataValidation allowBlank="1" showInputMessage="1" showErrorMessage="1" promptTitle="ФИО школьного координатора" prompt=" " sqref="C6:G6"/>
    <dataValidation allowBlank="1" showInputMessage="1" showErrorMessage="1" promptTitle="ФИО проводящего тестирование" prompt="ФИО лица, проводящего тестирование" sqref="C10:G10"/>
    <dataValidation type="list" allowBlank="1" showInputMessage="1" showErrorMessage="1" promptTitle="Статус проводящего тестирование" prompt=" " sqref="C14:G14">
      <formula1>"Учитель (не работающий с тестируемыми),Учитель (ведущий занятия с тестируемыми),Другое. Запишите пожалуйста:"</formula1>
    </dataValidation>
    <dataValidation allowBlank="1" showErrorMessage="1" sqref="A15:B16 C15:G15"/>
    <dataValidation allowBlank="1" showInputMessage="1" showErrorMessage="1" promptTitle="Другой статус" prompt=" " sqref="C16:G16"/>
    <dataValidation type="date" allowBlank="1" showInputMessage="1" showErrorMessage="1" promptTitle="Дата проведения тестирования" prompt="Введите дату в формате ДД.ММ.ГГ (например, 21.04.13)" sqref="C20:D20">
      <formula1>41365</formula1>
      <formula2>41577</formula2>
    </dataValidation>
    <dataValidation allowBlank="1" showInputMessage="1" showErrorMessage="1" promptTitle="Начало" prompt="Введите время начала организационной части в формате ЧЧ:ММ (например, 9:20)" sqref="C25"/>
    <dataValidation allowBlank="1" showInputMessage="1" showErrorMessage="1" promptTitle="Начало" prompt="Введите время начала выполнения работы в формате ЧЧ:ММ (например, 9:20)" sqref="C27"/>
    <dataValidation allowBlank="1" showInputMessage="1" showErrorMessage="1" promptTitle="Конец" prompt="Введите время окончания организационной части в формате ЧЧ:ММ (например, 9:20)" sqref="E25"/>
    <dataValidation allowBlank="1" showInputMessage="1" showErrorMessage="1" promptTitle="Конец" prompt="Введите время окончания выполнения работы в формате ЧЧ:ММ (например, 9:20)" sqref="E27"/>
    <dataValidation type="list" allowBlank="1" showInputMessage="1" showErrorMessage="1" promptTitle=" " prompt="Выберите один из вариантов ответа" sqref="C32">
      <formula1>"НЕТ,ДА"</formula1>
    </dataValidation>
    <dataValidation allowBlank="1" showInputMessage="1" showErrorMessage="1" promptTitle="Пояснение" prompt="Если у учащихся возникли проблемы, поясните" sqref="C34:G34"/>
    <dataValidation allowBlank="1" showInputMessage="1" showErrorMessage="1" promptTitle="Номера вариантов и заданий" prompt=" " sqref="B39:F39"/>
    <dataValidation allowBlank="1" showInputMessage="1" showErrorMessage="1" promptTitle="Предложения" prompt=" " sqref="B44:F44"/>
    <dataValidation type="list" allowBlank="1" showInputMessage="1" showErrorMessage="1" sqref="B7 B35 B45 B40 B11">
      <formula1>#REF!</formula1>
    </dataValidation>
  </dataValidations>
  <pageMargins left="0.35433070866141736" right="0.35433070866141736" top="0.97395833333333337" bottom="0.39370078740157483" header="0.51181102362204722" footer="0.51181102362204722"/>
  <pageSetup paperSize="9" scale="85" fitToWidth="0" fitToHeight="0" orientation="portrait" r:id="rId2"/>
  <headerFooter alignWithMargins="0">
    <oddHeader>&amp;CКГБУ "Региональный центр оценки качества образования"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95"/>
  <sheetViews>
    <sheetView tabSelected="1" view="pageLayout" topLeftCell="A19" zoomScaleNormal="100" workbookViewId="0">
      <selection activeCell="B36" sqref="B36"/>
    </sheetView>
  </sheetViews>
  <sheetFormatPr defaultRowHeight="12.75" x14ac:dyDescent="0.2"/>
  <cols>
    <col min="1" max="1" width="28.85546875" style="38" customWidth="1"/>
    <col min="2" max="2" width="13.28515625" customWidth="1"/>
    <col min="3" max="3" width="5.5703125" customWidth="1"/>
    <col min="5" max="5" width="16.5703125" customWidth="1"/>
    <col min="7" max="7" width="12" customWidth="1"/>
    <col min="8" max="8" width="14.85546875" customWidth="1"/>
    <col min="10" max="10" width="13.42578125" customWidth="1"/>
    <col min="16" max="16" width="12.42578125" customWidth="1"/>
    <col min="17" max="17" width="58.140625" customWidth="1"/>
    <col min="18" max="18" width="44.5703125" customWidth="1"/>
    <col min="19" max="19" width="31.28515625" customWidth="1"/>
    <col min="20" max="20" width="27.85546875" customWidth="1"/>
    <col min="21" max="21" width="37.7109375" customWidth="1"/>
  </cols>
  <sheetData>
    <row r="1" spans="1:8" ht="6.75" customHeight="1" thickBot="1" x14ac:dyDescent="0.25">
      <c r="A1" s="156"/>
      <c r="B1" s="122"/>
      <c r="C1" s="122"/>
      <c r="D1" s="122"/>
      <c r="E1" s="122"/>
      <c r="F1" s="122"/>
      <c r="G1" s="122"/>
      <c r="H1" s="122"/>
    </row>
    <row r="2" spans="1:8" ht="15.75" customHeight="1" thickBot="1" x14ac:dyDescent="0.3">
      <c r="A2" s="55"/>
      <c r="B2" s="20"/>
      <c r="C2" s="517" t="s">
        <v>0</v>
      </c>
      <c r="D2" s="518"/>
      <c r="E2" s="19" t="str">
        <f>IF(NOT(ISBLANK('СПИСОК КЛАССА'!H1)),'СПИСОК КЛАССА'!H1,"")</f>
        <v>138066</v>
      </c>
      <c r="F2" s="517" t="s">
        <v>1</v>
      </c>
      <c r="G2" s="518"/>
      <c r="H2" s="19" t="str">
        <f>IF(NOT(ISBLANK('СПИСОК КЛАССА'!J1)),'СПИСОК КЛАССА'!J1,"")</f>
        <v>1001</v>
      </c>
    </row>
    <row r="3" spans="1:8" ht="7.5" customHeight="1" x14ac:dyDescent="0.2">
      <c r="A3" s="22"/>
      <c r="B3" s="21"/>
      <c r="C3" s="21"/>
      <c r="D3" s="21"/>
      <c r="E3" s="21"/>
      <c r="F3" s="21"/>
      <c r="G3" s="21"/>
      <c r="H3" s="21"/>
    </row>
    <row r="4" spans="1:8" ht="6.75" customHeight="1" thickBot="1" x14ac:dyDescent="0.25">
      <c r="A4" s="22"/>
      <c r="B4" s="21"/>
      <c r="C4" s="21"/>
      <c r="D4" s="21"/>
      <c r="E4" s="21"/>
      <c r="F4" s="21"/>
      <c r="G4" s="21"/>
      <c r="H4" s="21"/>
    </row>
    <row r="5" spans="1:8" ht="16.5" thickBot="1" x14ac:dyDescent="0.3">
      <c r="A5" s="519" t="s">
        <v>68</v>
      </c>
      <c r="B5" s="520"/>
      <c r="C5" s="520"/>
      <c r="D5" s="520"/>
      <c r="E5" s="520"/>
      <c r="F5" s="520"/>
      <c r="G5" s="520"/>
      <c r="H5" s="521"/>
    </row>
    <row r="6" spans="1:8" ht="9" customHeight="1" thickBot="1" x14ac:dyDescent="0.25">
      <c r="A6" s="23"/>
      <c r="B6" s="25"/>
      <c r="C6" s="25"/>
      <c r="D6" s="25"/>
      <c r="E6" s="25"/>
      <c r="F6" s="25"/>
      <c r="G6" s="25"/>
      <c r="H6" s="26"/>
    </row>
    <row r="7" spans="1:8" ht="16.5" thickBot="1" x14ac:dyDescent="0.25">
      <c r="A7" s="23" t="s">
        <v>69</v>
      </c>
      <c r="B7" s="19" t="str">
        <f>IF(NOT(ISBLANK('СПИСОК КЛАССА'!J1)),'СПИСОК КЛАССА'!J1,"")</f>
        <v>1001</v>
      </c>
      <c r="C7" s="45"/>
      <c r="D7" s="33"/>
      <c r="E7" s="25"/>
      <c r="F7" s="25"/>
      <c r="G7" s="25"/>
      <c r="H7" s="26"/>
    </row>
    <row r="8" spans="1:8" ht="8.25" customHeight="1" x14ac:dyDescent="0.2">
      <c r="A8" s="23"/>
      <c r="B8" s="46"/>
      <c r="C8" s="25"/>
      <c r="D8" s="25"/>
      <c r="E8" s="25"/>
      <c r="F8" s="25"/>
      <c r="G8" s="25"/>
      <c r="H8" s="26"/>
    </row>
    <row r="9" spans="1:8" ht="6" customHeight="1" x14ac:dyDescent="0.2">
      <c r="A9" s="27"/>
      <c r="B9" s="28"/>
      <c r="C9" s="29"/>
      <c r="D9" s="29"/>
      <c r="E9" s="29"/>
      <c r="F9" s="29"/>
      <c r="G9" s="29"/>
      <c r="H9" s="30"/>
    </row>
    <row r="10" spans="1:8" ht="6" customHeight="1" thickBot="1" x14ac:dyDescent="0.25">
      <c r="A10" s="23"/>
      <c r="B10" s="24"/>
      <c r="C10" s="25"/>
      <c r="D10" s="25"/>
      <c r="E10" s="25"/>
      <c r="F10" s="25"/>
      <c r="G10" s="25"/>
      <c r="H10" s="26"/>
    </row>
    <row r="11" spans="1:8" ht="15.75" customHeight="1" thickBot="1" x14ac:dyDescent="0.25">
      <c r="A11" s="23" t="s">
        <v>70</v>
      </c>
      <c r="B11" s="43" t="s">
        <v>317</v>
      </c>
      <c r="C11" s="25"/>
      <c r="D11" s="25"/>
      <c r="E11" s="25"/>
      <c r="F11" s="25"/>
      <c r="G11" s="25"/>
      <c r="H11" s="26"/>
    </row>
    <row r="12" spans="1:8" ht="6.75" customHeight="1" x14ac:dyDescent="0.2">
      <c r="A12" s="23"/>
      <c r="B12" s="24"/>
      <c r="C12" s="25"/>
      <c r="D12" s="25"/>
      <c r="E12" s="25"/>
      <c r="F12" s="25"/>
      <c r="G12" s="25"/>
      <c r="H12" s="26"/>
    </row>
    <row r="13" spans="1:8" ht="6" customHeight="1" x14ac:dyDescent="0.2">
      <c r="A13" s="27"/>
      <c r="B13" s="28"/>
      <c r="C13" s="29"/>
      <c r="D13" s="29"/>
      <c r="E13" s="29"/>
      <c r="F13" s="29"/>
      <c r="G13" s="29"/>
      <c r="H13" s="30"/>
    </row>
    <row r="14" spans="1:8" ht="6.75" customHeight="1" thickBot="1" x14ac:dyDescent="0.25">
      <c r="A14" s="23"/>
      <c r="B14" s="24"/>
      <c r="C14" s="25"/>
      <c r="D14" s="25"/>
      <c r="E14" s="25"/>
      <c r="F14" s="25"/>
      <c r="G14" s="25"/>
      <c r="H14" s="26"/>
    </row>
    <row r="15" spans="1:8" ht="16.5" customHeight="1" thickBot="1" x14ac:dyDescent="0.25">
      <c r="A15" s="23" t="s">
        <v>71</v>
      </c>
      <c r="B15" s="499" t="s">
        <v>99</v>
      </c>
      <c r="C15" s="522"/>
      <c r="D15" s="522"/>
      <c r="E15" s="500"/>
      <c r="F15" s="501"/>
      <c r="G15" s="25"/>
      <c r="H15" s="26"/>
    </row>
    <row r="16" spans="1:8" ht="6.75" customHeight="1" x14ac:dyDescent="0.2">
      <c r="A16" s="23"/>
      <c r="B16" s="24"/>
      <c r="C16" s="16"/>
      <c r="D16" s="16"/>
      <c r="E16" s="16"/>
      <c r="F16" s="16"/>
      <c r="G16" s="25"/>
      <c r="H16" s="26"/>
    </row>
    <row r="17" spans="1:15" ht="6" customHeight="1" x14ac:dyDescent="0.2">
      <c r="A17" s="27"/>
      <c r="B17" s="28"/>
      <c r="C17" s="29"/>
      <c r="D17" s="29"/>
      <c r="E17" s="29"/>
      <c r="F17" s="29"/>
      <c r="G17" s="29"/>
      <c r="H17" s="30"/>
    </row>
    <row r="18" spans="1:15" ht="7.5" customHeight="1" thickBot="1" x14ac:dyDescent="0.25">
      <c r="A18" s="23"/>
      <c r="B18" s="24"/>
      <c r="C18" s="25"/>
      <c r="D18" s="25"/>
      <c r="E18" s="25"/>
      <c r="F18" s="25"/>
      <c r="G18" s="25"/>
      <c r="H18" s="26"/>
    </row>
    <row r="19" spans="1:15" ht="14.25" customHeight="1" thickBot="1" x14ac:dyDescent="0.25">
      <c r="A19" s="23" t="s">
        <v>72</v>
      </c>
      <c r="B19" s="43">
        <v>45</v>
      </c>
      <c r="C19" s="25" t="s">
        <v>73</v>
      </c>
      <c r="D19" s="25"/>
      <c r="E19" s="34"/>
      <c r="F19" s="16"/>
      <c r="G19" s="34"/>
      <c r="H19" s="35"/>
      <c r="I19" s="37"/>
      <c r="J19" s="37"/>
      <c r="K19" s="37"/>
      <c r="L19" s="37"/>
      <c r="M19" s="37"/>
      <c r="N19" s="37"/>
      <c r="O19" s="37"/>
    </row>
    <row r="20" spans="1:15" ht="6.75" customHeight="1" x14ac:dyDescent="0.2">
      <c r="A20" s="23"/>
      <c r="B20" s="24"/>
      <c r="C20" s="33"/>
      <c r="D20" s="25"/>
      <c r="E20" s="34"/>
      <c r="F20" s="16"/>
      <c r="G20" s="34"/>
      <c r="H20" s="35"/>
      <c r="I20" s="37"/>
      <c r="J20" s="37"/>
      <c r="K20" s="37"/>
      <c r="L20" s="37"/>
      <c r="M20" s="37"/>
      <c r="N20" s="37"/>
      <c r="O20" s="37"/>
    </row>
    <row r="21" spans="1:15" ht="6" customHeight="1" x14ac:dyDescent="0.2">
      <c r="A21" s="27"/>
      <c r="B21" s="28"/>
      <c r="C21" s="29"/>
      <c r="D21" s="29"/>
      <c r="E21" s="29"/>
      <c r="F21" s="29"/>
      <c r="G21" s="29"/>
      <c r="H21" s="30"/>
    </row>
    <row r="22" spans="1:15" ht="7.5" customHeight="1" thickBot="1" x14ac:dyDescent="0.25">
      <c r="A22" s="23"/>
      <c r="B22" s="24"/>
      <c r="C22" s="25"/>
      <c r="D22" s="25"/>
      <c r="E22" s="25"/>
      <c r="F22" s="25"/>
      <c r="G22" s="25"/>
      <c r="H22" s="26"/>
    </row>
    <row r="23" spans="1:15" ht="16.5" customHeight="1" thickBot="1" x14ac:dyDescent="0.25">
      <c r="A23" s="23" t="s">
        <v>74</v>
      </c>
      <c r="B23" s="43">
        <v>34</v>
      </c>
      <c r="C23" s="25"/>
      <c r="D23" s="25"/>
      <c r="E23" s="34"/>
      <c r="F23" s="16"/>
      <c r="G23" s="34"/>
      <c r="H23" s="35"/>
      <c r="I23" s="37"/>
      <c r="J23" s="37"/>
      <c r="K23" s="37"/>
      <c r="L23" s="37"/>
      <c r="M23" s="37"/>
      <c r="N23" s="37"/>
      <c r="O23" s="37"/>
    </row>
    <row r="24" spans="1:15" ht="6.75" customHeight="1" x14ac:dyDescent="0.2">
      <c r="A24" s="23"/>
      <c r="B24" s="24"/>
      <c r="C24" s="33"/>
      <c r="D24" s="25"/>
      <c r="E24" s="34"/>
      <c r="F24" s="16"/>
      <c r="G24" s="34"/>
      <c r="H24" s="35"/>
      <c r="I24" s="37"/>
      <c r="J24" s="37"/>
      <c r="K24" s="37"/>
      <c r="L24" s="37"/>
      <c r="M24" s="37"/>
      <c r="N24" s="37"/>
      <c r="O24" s="37"/>
    </row>
    <row r="25" spans="1:15" ht="6" customHeight="1" x14ac:dyDescent="0.2">
      <c r="A25" s="27"/>
      <c r="B25" s="28"/>
      <c r="C25" s="29"/>
      <c r="D25" s="29"/>
      <c r="E25" s="29"/>
      <c r="F25" s="29"/>
      <c r="G25" s="29"/>
      <c r="H25" s="30"/>
    </row>
    <row r="26" spans="1:15" ht="8.25" customHeight="1" thickBot="1" x14ac:dyDescent="0.25">
      <c r="A26" s="23"/>
      <c r="B26" s="24"/>
      <c r="C26" s="25"/>
      <c r="D26" s="25"/>
      <c r="E26" s="34"/>
      <c r="F26" s="16"/>
      <c r="G26" s="34"/>
      <c r="H26" s="35"/>
      <c r="I26" s="37"/>
      <c r="J26" s="37"/>
      <c r="K26" s="37"/>
      <c r="L26" s="37"/>
      <c r="M26" s="37"/>
      <c r="N26" s="37"/>
      <c r="O26" s="37"/>
    </row>
    <row r="27" spans="1:15" ht="14.25" customHeight="1" thickBot="1" x14ac:dyDescent="0.25">
      <c r="A27" s="23" t="s">
        <v>176</v>
      </c>
      <c r="B27" s="25"/>
      <c r="D27" s="43">
        <v>6</v>
      </c>
      <c r="E27" s="25"/>
      <c r="F27" s="25"/>
      <c r="G27" s="25"/>
      <c r="H27" s="26"/>
    </row>
    <row r="28" spans="1:15" ht="7.5" customHeight="1" x14ac:dyDescent="0.2">
      <c r="A28" s="23"/>
      <c r="B28" s="33"/>
      <c r="C28" s="24"/>
      <c r="D28" s="25"/>
      <c r="E28" s="25"/>
      <c r="F28" s="25"/>
      <c r="G28" s="25"/>
      <c r="H28" s="26"/>
    </row>
    <row r="29" spans="1:15" ht="6" customHeight="1" x14ac:dyDescent="0.2">
      <c r="A29" s="27"/>
      <c r="B29" s="28"/>
      <c r="C29" s="29"/>
      <c r="D29" s="29"/>
      <c r="E29" s="29"/>
      <c r="F29" s="29"/>
      <c r="G29" s="29"/>
      <c r="H29" s="30"/>
    </row>
    <row r="30" spans="1:15" x14ac:dyDescent="0.2">
      <c r="A30" s="23" t="s">
        <v>175</v>
      </c>
      <c r="B30" s="25"/>
      <c r="C30" s="25"/>
      <c r="D30" s="25"/>
      <c r="E30" s="25"/>
      <c r="F30" s="25"/>
      <c r="G30" s="25"/>
      <c r="H30" s="26"/>
    </row>
    <row r="31" spans="1:15" ht="5.25" customHeight="1" thickBot="1" x14ac:dyDescent="0.25">
      <c r="A31" s="23"/>
      <c r="B31" s="25"/>
      <c r="C31" s="25"/>
      <c r="D31" s="25"/>
      <c r="E31" s="25"/>
      <c r="F31" s="25"/>
      <c r="G31" s="25"/>
      <c r="H31" s="26"/>
    </row>
    <row r="32" spans="1:15" ht="18.75" customHeight="1" thickBot="1" x14ac:dyDescent="0.25">
      <c r="A32" s="23"/>
      <c r="B32" s="499" t="s">
        <v>319</v>
      </c>
      <c r="C32" s="500"/>
      <c r="D32" s="500"/>
      <c r="E32" s="500"/>
      <c r="F32" s="501"/>
      <c r="G32" s="25"/>
      <c r="H32" s="26"/>
    </row>
    <row r="33" spans="1:8" ht="6" customHeight="1" x14ac:dyDescent="0.2">
      <c r="A33" s="23"/>
      <c r="B33" s="24"/>
      <c r="C33" s="25"/>
      <c r="D33" s="25"/>
      <c r="E33" s="25"/>
      <c r="F33" s="25"/>
      <c r="G33" s="25"/>
      <c r="H33" s="26"/>
    </row>
    <row r="34" spans="1:8" ht="6" customHeight="1" x14ac:dyDescent="0.2">
      <c r="A34" s="27"/>
      <c r="B34" s="28"/>
      <c r="C34" s="29"/>
      <c r="D34" s="29"/>
      <c r="E34" s="29"/>
      <c r="F34" s="29"/>
      <c r="G34" s="29"/>
      <c r="H34" s="30"/>
    </row>
    <row r="35" spans="1:8" ht="6" customHeight="1" thickBot="1" x14ac:dyDescent="0.25">
      <c r="A35" s="23"/>
      <c r="B35" s="24"/>
      <c r="C35" s="25"/>
      <c r="D35" s="25"/>
      <c r="E35" s="25"/>
      <c r="F35" s="25"/>
      <c r="G35" s="25"/>
      <c r="H35" s="26"/>
    </row>
    <row r="36" spans="1:8" ht="13.5" thickBot="1" x14ac:dyDescent="0.25">
      <c r="A36" s="23" t="s">
        <v>77</v>
      </c>
      <c r="B36" s="43"/>
      <c r="C36" s="25" t="s">
        <v>75</v>
      </c>
      <c r="D36" s="25"/>
      <c r="E36" s="25"/>
      <c r="F36" s="25"/>
      <c r="G36" s="25"/>
      <c r="H36" s="26"/>
    </row>
    <row r="37" spans="1:8" ht="6" customHeight="1" x14ac:dyDescent="0.2">
      <c r="A37" s="23"/>
      <c r="B37" s="24"/>
      <c r="C37" s="25"/>
      <c r="D37" s="25"/>
      <c r="E37" s="25"/>
      <c r="F37" s="25"/>
      <c r="G37" s="25"/>
      <c r="H37" s="26"/>
    </row>
    <row r="38" spans="1:8" ht="6" customHeight="1" x14ac:dyDescent="0.2">
      <c r="A38" s="27"/>
      <c r="B38" s="28"/>
      <c r="C38" s="29"/>
      <c r="D38" s="29"/>
      <c r="E38" s="29"/>
      <c r="F38" s="29"/>
      <c r="G38" s="29"/>
      <c r="H38" s="30"/>
    </row>
    <row r="39" spans="1:8" ht="6" customHeight="1" thickBot="1" x14ac:dyDescent="0.25">
      <c r="A39" s="23"/>
      <c r="B39" s="24"/>
      <c r="C39" s="25"/>
      <c r="D39" s="25"/>
      <c r="E39" s="25"/>
      <c r="F39" s="25"/>
      <c r="G39" s="25"/>
      <c r="H39" s="26"/>
    </row>
    <row r="40" spans="1:8" ht="13.5" thickBot="1" x14ac:dyDescent="0.25">
      <c r="A40" s="23" t="s">
        <v>80</v>
      </c>
      <c r="B40" s="43" t="s">
        <v>318</v>
      </c>
      <c r="C40" s="25"/>
      <c r="D40" s="25"/>
      <c r="E40" s="25"/>
      <c r="F40" s="25"/>
      <c r="G40" s="25"/>
      <c r="H40" s="26"/>
    </row>
    <row r="41" spans="1:8" ht="6" customHeight="1" x14ac:dyDescent="0.2">
      <c r="A41" s="23"/>
      <c r="B41" s="24"/>
      <c r="C41" s="25"/>
      <c r="D41" s="25"/>
      <c r="E41" s="25"/>
      <c r="F41" s="25"/>
      <c r="G41" s="25"/>
      <c r="H41" s="26"/>
    </row>
    <row r="42" spans="1:8" ht="6" customHeight="1" x14ac:dyDescent="0.2">
      <c r="A42" s="27"/>
      <c r="B42" s="28"/>
      <c r="C42" s="29"/>
      <c r="D42" s="29"/>
      <c r="E42" s="29"/>
      <c r="F42" s="29"/>
      <c r="G42" s="29"/>
      <c r="H42" s="30"/>
    </row>
    <row r="43" spans="1:8" ht="6.75" customHeight="1" thickBot="1" x14ac:dyDescent="0.25">
      <c r="A43" s="23"/>
      <c r="B43" s="24"/>
      <c r="C43" s="25"/>
      <c r="D43" s="25"/>
      <c r="E43" s="25"/>
      <c r="F43" s="25"/>
      <c r="G43" s="25"/>
      <c r="H43" s="26"/>
    </row>
    <row r="44" spans="1:8" ht="13.5" thickBot="1" x14ac:dyDescent="0.25">
      <c r="A44" s="23" t="s">
        <v>78</v>
      </c>
      <c r="B44" s="43">
        <v>32</v>
      </c>
      <c r="C44" s="25"/>
      <c r="D44" s="25"/>
      <c r="E44" s="25"/>
      <c r="F44" s="25"/>
      <c r="G44" s="25"/>
      <c r="H44" s="26"/>
    </row>
    <row r="45" spans="1:8" ht="6" customHeight="1" x14ac:dyDescent="0.2">
      <c r="A45" s="23"/>
      <c r="B45" s="25"/>
      <c r="C45" s="25"/>
      <c r="D45" s="25"/>
      <c r="E45" s="25"/>
      <c r="F45" s="25"/>
      <c r="G45" s="25"/>
      <c r="H45" s="26"/>
    </row>
    <row r="46" spans="1:8" ht="6" customHeight="1" thickBot="1" x14ac:dyDescent="0.25">
      <c r="A46" s="47"/>
      <c r="B46" s="48"/>
      <c r="C46" s="49"/>
      <c r="D46" s="49"/>
      <c r="E46" s="49"/>
      <c r="F46" s="49"/>
      <c r="G46" s="49"/>
      <c r="H46" s="50"/>
    </row>
    <row r="47" spans="1:8" ht="21" customHeight="1" x14ac:dyDescent="0.3">
      <c r="A47" s="510" t="s">
        <v>76</v>
      </c>
      <c r="B47" s="511"/>
      <c r="C47" s="511"/>
      <c r="D47" s="511"/>
      <c r="E47" s="511"/>
      <c r="F47" s="511"/>
      <c r="G47" s="511"/>
      <c r="H47" s="511"/>
    </row>
    <row r="48" spans="1:8" x14ac:dyDescent="0.2">
      <c r="A48" s="22"/>
      <c r="B48" s="21"/>
      <c r="C48" s="21"/>
      <c r="D48" s="21"/>
      <c r="E48" s="21"/>
      <c r="F48" s="21"/>
      <c r="G48" s="21"/>
      <c r="H48" s="21"/>
    </row>
    <row r="49" spans="1:8" x14ac:dyDescent="0.2">
      <c r="A49" s="22"/>
      <c r="B49" s="21"/>
      <c r="C49" s="21"/>
      <c r="D49" s="21"/>
      <c r="E49" s="21"/>
      <c r="F49" s="21"/>
      <c r="G49" s="21"/>
      <c r="H49" s="21"/>
    </row>
    <row r="50" spans="1:8" x14ac:dyDescent="0.2">
      <c r="A50" s="156"/>
      <c r="B50" s="122"/>
      <c r="C50" s="122"/>
      <c r="D50" s="122"/>
      <c r="E50" s="122"/>
      <c r="F50" s="122"/>
      <c r="G50" s="122"/>
      <c r="H50" s="122"/>
    </row>
    <row r="51" spans="1:8" x14ac:dyDescent="0.2">
      <c r="A51" s="156"/>
      <c r="B51" s="122"/>
      <c r="C51" s="122"/>
      <c r="D51" s="122"/>
      <c r="E51" s="122"/>
      <c r="F51" s="122"/>
      <c r="G51" s="122"/>
      <c r="H51" s="122"/>
    </row>
    <row r="52" spans="1:8" hidden="1" x14ac:dyDescent="0.2">
      <c r="A52" s="156"/>
      <c r="B52" s="122" t="s">
        <v>99</v>
      </c>
      <c r="C52" s="122"/>
      <c r="D52" s="122"/>
      <c r="E52" s="122"/>
      <c r="F52" s="122" t="s">
        <v>102</v>
      </c>
      <c r="G52" s="122"/>
      <c r="H52" s="122"/>
    </row>
    <row r="53" spans="1:8" hidden="1" x14ac:dyDescent="0.2">
      <c r="A53" s="156"/>
      <c r="B53" s="122" t="s">
        <v>100</v>
      </c>
      <c r="C53" s="122"/>
      <c r="D53" s="122"/>
      <c r="E53" s="122"/>
      <c r="F53" s="122" t="s">
        <v>103</v>
      </c>
      <c r="G53" s="122"/>
      <c r="H53" s="122"/>
    </row>
    <row r="54" spans="1:8" hidden="1" x14ac:dyDescent="0.2">
      <c r="A54" s="156"/>
      <c r="B54" s="122" t="s">
        <v>101</v>
      </c>
      <c r="C54" s="122"/>
      <c r="D54" s="122"/>
      <c r="E54" s="122"/>
      <c r="F54" s="122" t="s">
        <v>104</v>
      </c>
      <c r="G54" s="122"/>
      <c r="H54" s="122"/>
    </row>
    <row r="55" spans="1:8" hidden="1" x14ac:dyDescent="0.2">
      <c r="A55" s="156"/>
      <c r="B55" s="122" t="s">
        <v>42</v>
      </c>
      <c r="C55" s="122"/>
      <c r="D55" s="122"/>
      <c r="E55" s="122"/>
      <c r="F55" s="122" t="s">
        <v>105</v>
      </c>
      <c r="G55" s="122"/>
      <c r="H55" s="122"/>
    </row>
    <row r="56" spans="1:8" hidden="1" x14ac:dyDescent="0.2">
      <c r="A56" s="156"/>
      <c r="B56" s="122" t="s">
        <v>46</v>
      </c>
      <c r="C56" s="122"/>
      <c r="D56" s="122"/>
      <c r="E56" s="122"/>
      <c r="F56" s="122" t="s">
        <v>106</v>
      </c>
      <c r="G56" s="122"/>
      <c r="H56" s="122"/>
    </row>
    <row r="57" spans="1:8" hidden="1" x14ac:dyDescent="0.2">
      <c r="A57" s="156"/>
      <c r="B57" s="122" t="s">
        <v>51</v>
      </c>
      <c r="C57" s="122"/>
      <c r="D57" s="122"/>
      <c r="E57" s="122"/>
      <c r="F57" s="122" t="s">
        <v>107</v>
      </c>
      <c r="G57" s="122"/>
      <c r="H57" s="122"/>
    </row>
    <row r="58" spans="1:8" hidden="1" x14ac:dyDescent="0.2">
      <c r="A58" s="156"/>
      <c r="B58" s="122" t="s">
        <v>56</v>
      </c>
      <c r="C58" s="122"/>
      <c r="D58" s="122"/>
      <c r="E58" s="122"/>
      <c r="F58" s="122" t="s">
        <v>108</v>
      </c>
      <c r="G58" s="122"/>
      <c r="H58" s="122"/>
    </row>
    <row r="59" spans="1:8" hidden="1" x14ac:dyDescent="0.2">
      <c r="A59" s="156"/>
      <c r="B59" s="122"/>
      <c r="C59" s="122"/>
      <c r="D59" s="122"/>
      <c r="E59" s="122"/>
      <c r="F59" s="122" t="s">
        <v>109</v>
      </c>
      <c r="G59" s="122"/>
      <c r="H59" s="122"/>
    </row>
    <row r="60" spans="1:8" hidden="1" x14ac:dyDescent="0.2">
      <c r="A60" s="156"/>
      <c r="B60" s="122"/>
      <c r="C60" s="122"/>
      <c r="D60" s="122"/>
      <c r="E60" s="122"/>
      <c r="F60" s="122" t="s">
        <v>110</v>
      </c>
      <c r="G60" s="122"/>
      <c r="H60" s="122"/>
    </row>
    <row r="61" spans="1:8" hidden="1" x14ac:dyDescent="0.2">
      <c r="A61" s="156"/>
      <c r="B61" s="122"/>
      <c r="C61" s="122"/>
      <c r="D61" s="122"/>
      <c r="E61" s="122"/>
      <c r="F61" s="122" t="s">
        <v>111</v>
      </c>
      <c r="G61" s="122"/>
      <c r="H61" s="122"/>
    </row>
    <row r="62" spans="1:8" hidden="1" x14ac:dyDescent="0.2">
      <c r="A62" s="156"/>
      <c r="B62" s="122"/>
      <c r="C62" s="122"/>
      <c r="D62" s="122"/>
      <c r="E62" s="122"/>
      <c r="F62" s="122" t="s">
        <v>112</v>
      </c>
      <c r="G62" s="122"/>
      <c r="H62" s="122"/>
    </row>
    <row r="63" spans="1:8" hidden="1" x14ac:dyDescent="0.2">
      <c r="A63" s="156"/>
      <c r="B63" s="122"/>
      <c r="C63" s="122"/>
      <c r="D63" s="122"/>
      <c r="E63" s="122"/>
      <c r="F63" s="122" t="s">
        <v>113</v>
      </c>
      <c r="G63" s="122"/>
      <c r="H63" s="122"/>
    </row>
    <row r="64" spans="1:8" hidden="1" x14ac:dyDescent="0.2">
      <c r="A64" s="156"/>
      <c r="B64" s="122"/>
      <c r="C64" s="122"/>
      <c r="D64" s="122"/>
      <c r="E64" s="122"/>
      <c r="F64" s="122" t="s">
        <v>114</v>
      </c>
      <c r="G64" s="122"/>
      <c r="H64" s="122"/>
    </row>
    <row r="65" spans="1:8" hidden="1" x14ac:dyDescent="0.2">
      <c r="A65" s="156"/>
      <c r="B65" s="122"/>
      <c r="C65" s="122"/>
      <c r="D65" s="122"/>
      <c r="E65" s="122"/>
      <c r="F65" s="122" t="s">
        <v>115</v>
      </c>
      <c r="G65" s="122"/>
      <c r="H65" s="122"/>
    </row>
    <row r="66" spans="1:8" x14ac:dyDescent="0.2">
      <c r="A66" s="156"/>
      <c r="B66" s="122"/>
      <c r="C66" s="122"/>
      <c r="D66" s="122"/>
      <c r="E66" s="122"/>
      <c r="F66" s="122"/>
      <c r="G66" s="122"/>
      <c r="H66" s="122"/>
    </row>
    <row r="67" spans="1:8" x14ac:dyDescent="0.2">
      <c r="A67" s="156"/>
      <c r="B67" s="122"/>
      <c r="C67" s="122"/>
      <c r="D67" s="122"/>
      <c r="E67" s="122"/>
      <c r="F67" s="122"/>
      <c r="G67" s="122"/>
      <c r="H67" s="122"/>
    </row>
    <row r="68" spans="1:8" x14ac:dyDescent="0.2">
      <c r="A68" s="156"/>
      <c r="B68" s="122"/>
      <c r="C68" s="122"/>
      <c r="D68" s="122"/>
      <c r="E68" s="122"/>
      <c r="F68" s="122"/>
      <c r="G68" s="122"/>
      <c r="H68" s="122"/>
    </row>
    <row r="69" spans="1:8" x14ac:dyDescent="0.2">
      <c r="A69" s="156"/>
      <c r="B69" s="122"/>
      <c r="C69" s="122"/>
      <c r="D69" s="122"/>
      <c r="E69" s="122"/>
      <c r="F69" s="122"/>
      <c r="G69" s="122"/>
      <c r="H69" s="122"/>
    </row>
    <row r="70" spans="1:8" x14ac:dyDescent="0.2">
      <c r="A70" s="156"/>
      <c r="B70" s="122"/>
      <c r="C70" s="122"/>
      <c r="D70" s="122"/>
      <c r="E70" s="122"/>
      <c r="F70" s="122"/>
      <c r="G70" s="122"/>
      <c r="H70" s="122"/>
    </row>
    <row r="71" spans="1:8" x14ac:dyDescent="0.2">
      <c r="A71" s="156"/>
      <c r="B71" s="122"/>
      <c r="C71" s="122"/>
      <c r="D71" s="122"/>
      <c r="E71" s="122"/>
      <c r="F71" s="122"/>
      <c r="G71" s="122"/>
      <c r="H71" s="122"/>
    </row>
    <row r="72" spans="1:8" x14ac:dyDescent="0.2">
      <c r="A72" s="156"/>
      <c r="B72" s="122"/>
      <c r="C72" s="122"/>
      <c r="D72" s="122"/>
      <c r="E72" s="122"/>
      <c r="F72" s="122"/>
      <c r="G72" s="122"/>
      <c r="H72" s="122"/>
    </row>
    <row r="73" spans="1:8" x14ac:dyDescent="0.2">
      <c r="A73" s="156"/>
      <c r="B73" s="122"/>
      <c r="C73" s="122"/>
      <c r="D73" s="122"/>
      <c r="E73" s="122"/>
      <c r="F73" s="122"/>
      <c r="G73" s="122"/>
      <c r="H73" s="122"/>
    </row>
    <row r="74" spans="1:8" x14ac:dyDescent="0.2">
      <c r="A74" s="156"/>
      <c r="B74" s="122"/>
      <c r="C74" s="122"/>
      <c r="D74" s="122"/>
      <c r="E74" s="122"/>
      <c r="F74" s="122"/>
      <c r="G74" s="122"/>
      <c r="H74" s="122"/>
    </row>
    <row r="75" spans="1:8" x14ac:dyDescent="0.2">
      <c r="A75" s="156"/>
      <c r="B75" s="122"/>
      <c r="C75" s="122"/>
      <c r="D75" s="122"/>
      <c r="E75" s="122"/>
      <c r="F75" s="122"/>
      <c r="G75" s="122"/>
      <c r="H75" s="122"/>
    </row>
    <row r="76" spans="1:8" x14ac:dyDescent="0.2">
      <c r="A76" s="156"/>
      <c r="B76" s="122"/>
      <c r="C76" s="122"/>
      <c r="D76" s="122"/>
      <c r="E76" s="122"/>
      <c r="F76" s="122"/>
      <c r="G76" s="122"/>
      <c r="H76" s="122"/>
    </row>
    <row r="77" spans="1:8" x14ac:dyDescent="0.2">
      <c r="A77" s="156"/>
      <c r="B77" s="122"/>
      <c r="C77" s="122"/>
      <c r="D77" s="122"/>
      <c r="E77" s="122"/>
      <c r="F77" s="122"/>
      <c r="G77" s="122"/>
      <c r="H77" s="122"/>
    </row>
    <row r="78" spans="1:8" x14ac:dyDescent="0.2">
      <c r="A78" s="156"/>
      <c r="B78" s="122"/>
      <c r="C78" s="122"/>
      <c r="D78" s="122"/>
      <c r="E78" s="122"/>
      <c r="F78" s="122"/>
      <c r="G78" s="122"/>
      <c r="H78" s="122"/>
    </row>
    <row r="79" spans="1:8" x14ac:dyDescent="0.2">
      <c r="A79" s="156"/>
      <c r="B79" s="122"/>
      <c r="C79" s="122"/>
      <c r="D79" s="122"/>
      <c r="E79" s="122"/>
      <c r="F79" s="122"/>
      <c r="G79" s="122"/>
      <c r="H79" s="122"/>
    </row>
    <row r="80" spans="1:8" x14ac:dyDescent="0.2">
      <c r="A80" s="156"/>
      <c r="B80" s="122"/>
      <c r="C80" s="122"/>
      <c r="D80" s="122"/>
      <c r="E80" s="122"/>
      <c r="F80" s="122"/>
      <c r="G80" s="122"/>
      <c r="H80" s="122"/>
    </row>
    <row r="81" spans="1:8" x14ac:dyDescent="0.2">
      <c r="A81" s="156"/>
      <c r="B81" s="122"/>
      <c r="C81" s="122"/>
      <c r="D81" s="122"/>
      <c r="E81" s="122"/>
      <c r="F81" s="122"/>
      <c r="G81" s="122"/>
      <c r="H81" s="122"/>
    </row>
    <row r="82" spans="1:8" x14ac:dyDescent="0.2">
      <c r="A82" s="156"/>
      <c r="B82" s="122"/>
      <c r="C82" s="122"/>
      <c r="D82" s="122"/>
      <c r="E82" s="122"/>
      <c r="F82" s="122"/>
      <c r="G82" s="122"/>
      <c r="H82" s="122"/>
    </row>
    <row r="83" spans="1:8" x14ac:dyDescent="0.2">
      <c r="A83" s="156"/>
      <c r="B83" s="122"/>
      <c r="C83" s="122"/>
      <c r="D83" s="122"/>
      <c r="E83" s="122"/>
      <c r="F83" s="122"/>
      <c r="G83" s="122"/>
      <c r="H83" s="122"/>
    </row>
    <row r="84" spans="1:8" x14ac:dyDescent="0.2">
      <c r="A84" s="156"/>
      <c r="B84" s="122"/>
      <c r="C84" s="122"/>
      <c r="D84" s="122"/>
      <c r="E84" s="122"/>
      <c r="F84" s="122"/>
      <c r="G84" s="122"/>
      <c r="H84" s="122"/>
    </row>
    <row r="85" spans="1:8" x14ac:dyDescent="0.2">
      <c r="A85" s="156"/>
      <c r="B85" s="122"/>
      <c r="C85" s="122"/>
      <c r="D85" s="122"/>
      <c r="E85" s="122"/>
      <c r="F85" s="122"/>
      <c r="G85" s="122"/>
      <c r="H85" s="122"/>
    </row>
    <row r="86" spans="1:8" x14ac:dyDescent="0.2">
      <c r="A86" s="156"/>
      <c r="B86" s="122"/>
      <c r="C86" s="122"/>
      <c r="D86" s="122"/>
      <c r="E86" s="122"/>
      <c r="F86" s="122"/>
      <c r="G86" s="122"/>
      <c r="H86" s="122"/>
    </row>
    <row r="87" spans="1:8" x14ac:dyDescent="0.2">
      <c r="A87" s="156"/>
      <c r="B87" s="122"/>
      <c r="C87" s="122"/>
      <c r="D87" s="122"/>
      <c r="E87" s="122"/>
      <c r="F87" s="122"/>
      <c r="G87" s="122"/>
      <c r="H87" s="122"/>
    </row>
    <row r="88" spans="1:8" x14ac:dyDescent="0.2">
      <c r="A88" s="156"/>
      <c r="B88" s="122"/>
      <c r="C88" s="122"/>
      <c r="D88" s="122"/>
      <c r="E88" s="122"/>
      <c r="F88" s="122"/>
      <c r="G88" s="122"/>
      <c r="H88" s="122"/>
    </row>
    <row r="89" spans="1:8" x14ac:dyDescent="0.2">
      <c r="A89" s="156"/>
      <c r="B89" s="122"/>
      <c r="C89" s="122"/>
      <c r="D89" s="122"/>
      <c r="E89" s="122"/>
      <c r="F89" s="122"/>
      <c r="G89" s="122"/>
      <c r="H89" s="122"/>
    </row>
    <row r="90" spans="1:8" x14ac:dyDescent="0.2">
      <c r="A90" s="156"/>
      <c r="B90" s="122"/>
      <c r="C90" s="122"/>
      <c r="D90" s="122"/>
      <c r="E90" s="122"/>
      <c r="F90" s="122"/>
      <c r="G90" s="122"/>
      <c r="H90" s="122"/>
    </row>
    <row r="91" spans="1:8" x14ac:dyDescent="0.2">
      <c r="A91" s="156"/>
      <c r="B91" s="122"/>
      <c r="C91" s="122"/>
      <c r="D91" s="122"/>
      <c r="E91" s="122"/>
      <c r="F91" s="122"/>
      <c r="G91" s="122"/>
      <c r="H91" s="122"/>
    </row>
    <row r="92" spans="1:8" x14ac:dyDescent="0.2">
      <c r="A92" s="156"/>
      <c r="B92" s="122"/>
      <c r="C92" s="122"/>
      <c r="D92" s="122"/>
      <c r="E92" s="122"/>
      <c r="F92" s="122"/>
      <c r="G92" s="122"/>
      <c r="H92" s="122"/>
    </row>
    <row r="93" spans="1:8" x14ac:dyDescent="0.2">
      <c r="A93" s="156"/>
      <c r="B93" s="122"/>
      <c r="C93" s="122"/>
      <c r="D93" s="122"/>
      <c r="E93" s="122"/>
      <c r="F93" s="122"/>
      <c r="G93" s="122"/>
      <c r="H93" s="122"/>
    </row>
    <row r="94" spans="1:8" x14ac:dyDescent="0.2">
      <c r="A94" s="156"/>
      <c r="B94" s="122"/>
      <c r="C94" s="122"/>
      <c r="D94" s="122"/>
      <c r="E94" s="122"/>
      <c r="F94" s="122"/>
      <c r="G94" s="122"/>
      <c r="H94" s="122"/>
    </row>
    <row r="95" spans="1:8" x14ac:dyDescent="0.2">
      <c r="A95" s="156"/>
      <c r="B95" s="122"/>
      <c r="C95" s="122"/>
      <c r="D95" s="122"/>
      <c r="E95" s="122"/>
      <c r="F95" s="122"/>
      <c r="G95" s="122"/>
      <c r="H95" s="122"/>
    </row>
  </sheetData>
  <sheetProtection password="C62D" sheet="1" objects="1" scenarios="1" selectLockedCells="1"/>
  <protectedRanges>
    <protectedRange sqref="B11" name="Диапазон1"/>
    <protectedRange sqref="B15" name="Диапазон2"/>
    <protectedRange sqref="B19" name="Диапазон3"/>
    <protectedRange sqref="B23" name="Диапазон4"/>
    <protectedRange sqref="D27" name="Диапазон5"/>
    <protectedRange sqref="B32" name="Диапазон6"/>
    <protectedRange sqref="B36" name="Диапазон7"/>
    <protectedRange sqref="B40" name="Диапазон8"/>
    <protectedRange sqref="B44" name="Диапазон9"/>
  </protectedRanges>
  <customSheetViews>
    <customSheetView guid="{BFE542F4-8A0C-4C42-A5CA-C7B0ACF2717E}" scale="85" hiddenRows="1">
      <selection activeCell="AA6" sqref="AA6"/>
      <pageMargins left="0.35433070866141736" right="0.35433070866141736" top="1.0536458333333334" bottom="0.59055118110236227" header="0.51181102362204722" footer="0.51181102362204722"/>
      <pageSetup paperSize="9" scale="85" orientation="portrait" r:id="rId1"/>
      <headerFooter alignWithMargins="0">
        <oddHeader>&amp;CКГБУ "Региональный центр оценки качества образования"</oddHeader>
      </headerFooter>
    </customSheetView>
  </customSheetViews>
  <mergeCells count="6">
    <mergeCell ref="B32:F32"/>
    <mergeCell ref="A47:H47"/>
    <mergeCell ref="C2:D2"/>
    <mergeCell ref="F2:G2"/>
    <mergeCell ref="A5:H5"/>
    <mergeCell ref="B15:F15"/>
  </mergeCells>
  <phoneticPr fontId="0" type="noConversion"/>
  <conditionalFormatting sqref="E2:F2 B11 B15:F15 B23 B32:F32 B19 B40 B44 B36 D27 C2 H2 B7">
    <cfRule type="expression" dxfId="4" priority="1" stopIfTrue="1">
      <formula>ISBLANK(B2)</formula>
    </cfRule>
  </conditionalFormatting>
  <dataValidations count="11">
    <dataValidation type="whole" allowBlank="1" showInputMessage="1" showErrorMessage="1" promptTitle="Число учащихся в классе" prompt="Введите количество учащихся в классе" sqref="B23:B24 B20">
      <formula1>1</formula1>
      <formula2>40</formula2>
    </dataValidation>
    <dataValidation type="whole" allowBlank="1" showInputMessage="1" showErrorMessage="1" promptTitle="Число уроков математики в неделю" prompt="Введите количество уроков " sqref="C28">
      <formula1>3</formula1>
      <formula2>6</formula2>
    </dataValidation>
    <dataValidation type="whole" allowBlank="1" showInputMessage="1" showErrorMessage="1" promptTitle="Ваш разряд" prompt="Введите Ваш разряд" sqref="B41 B37">
      <formula1>8</formula1>
      <formula2>14</formula2>
    </dataValidation>
    <dataValidation type="whole" allowBlank="1" showInputMessage="1" showErrorMessage="1" promptTitle="Кол-во уроков" prompt="Введите количество уроков математики в неделю" sqref="D27">
      <formula1>1</formula1>
      <formula2>10</formula2>
    </dataValidation>
    <dataValidation type="list" allowBlank="1" showInputMessage="1" showErrorMessage="1" promptTitle="Ваша категория" prompt="Высшая, Первая, Вторая, Соответствие должности; Не имею" sqref="B40">
      <formula1>"Высшая,Первая,Вторая,Соответствие должности,Не имею"</formula1>
    </dataValidation>
    <dataValidation type="whole" allowBlank="1" showInputMessage="1" showErrorMessage="1" promptTitle="Ваш возраст" prompt="Введите Ваш возраст (число полных лет)" sqref="B36">
      <formula1>15</formula1>
      <formula2>100</formula2>
    </dataValidation>
    <dataValidation allowBlank="1" showInputMessage="1" showErrorMessage="1" promptTitle="Ваш стаж" prompt="Введите стаж Вашей педагогической деятельности" sqref="B44"/>
    <dataValidation type="whole" allowBlank="1" showInputMessage="1" showErrorMessage="1" promptTitle="Продолжительность урока" prompt="Введите продолжительность урока в минутах" sqref="B19">
      <formula1>1</formula1>
      <formula2>50</formula2>
    </dataValidation>
    <dataValidation type="list" allowBlank="1" showInputMessage="1" showErrorMessage="1" sqref="B12 B33 B16">
      <formula1>#REF!</formula1>
    </dataValidation>
    <dataValidation type="list" allowBlank="1" showInputMessage="1" showErrorMessage="1" promptTitle="Тип школы" prompt="Укажите тип школы" sqref="B11">
      <formula1>"начальняя, основная, средняя"</formula1>
    </dataValidation>
    <dataValidation type="list" allowBlank="1" showInputMessage="1" showErrorMessage="1" promptTitle="Вид школы" prompt="Укажите вид школы" sqref="B15:F15">
      <formula1>$B$52:$B$58</formula1>
    </dataValidation>
  </dataValidations>
  <pageMargins left="0.35433070866141736" right="0.35433070866141736" top="1.0536458333333334" bottom="0.59055118110236227" header="0.51181102362204722" footer="0.51181102362204722"/>
  <pageSetup paperSize="9" scale="85" orientation="portrait" r:id="rId2"/>
  <headerFooter alignWithMargins="0">
    <oddHeader>&amp;CКГБУ "Региональный центр оценки качества образования"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62"/>
  <sheetViews>
    <sheetView topLeftCell="E4" zoomScale="90" zoomScaleNormal="90" zoomScalePageLayoutView="90" workbookViewId="0">
      <selection activeCell="AI24" sqref="AI24"/>
    </sheetView>
  </sheetViews>
  <sheetFormatPr defaultRowHeight="12.75" x14ac:dyDescent="0.2"/>
  <cols>
    <col min="1" max="1" width="5.7109375" style="1" hidden="1" customWidth="1"/>
    <col min="2" max="2" width="6.85546875" style="1" bestFit="1" customWidth="1"/>
    <col min="3" max="3" width="4.28515625" style="1" bestFit="1" customWidth="1"/>
    <col min="4" max="4" width="29.7109375" style="1" customWidth="1"/>
    <col min="5" max="5" width="6.140625" style="1" customWidth="1"/>
    <col min="6" max="8" width="5.140625" style="1" customWidth="1"/>
    <col min="9" max="9" width="6.7109375" style="1" customWidth="1"/>
    <col min="10" max="10" width="6.28515625" style="1" customWidth="1"/>
    <col min="11" max="12" width="5.140625" style="1" customWidth="1"/>
    <col min="13" max="13" width="5.7109375" style="1" customWidth="1"/>
    <col min="14" max="14" width="5.140625" style="1" customWidth="1"/>
    <col min="15" max="15" width="6.5703125" style="1" customWidth="1"/>
    <col min="16" max="16" width="7.42578125" style="1" customWidth="1"/>
    <col min="17" max="17" width="6.140625" style="1" customWidth="1"/>
    <col min="18" max="18" width="6.7109375" style="1" customWidth="1"/>
    <col min="19" max="19" width="7.140625" style="1" customWidth="1"/>
    <col min="20" max="20" width="5.7109375" style="1" customWidth="1"/>
    <col min="21" max="21" width="5.42578125" style="1" customWidth="1"/>
    <col min="22" max="22" width="7.140625" style="1" customWidth="1"/>
    <col min="23" max="35" width="5.7109375" style="1" customWidth="1"/>
    <col min="36" max="36" width="6.7109375" style="1" customWidth="1"/>
    <col min="37" max="38" width="6.7109375" style="1" hidden="1" customWidth="1"/>
    <col min="39" max="39" width="0" style="1" hidden="1" customWidth="1"/>
    <col min="40" max="40" width="12.5703125" style="1" hidden="1" customWidth="1"/>
    <col min="41" max="50" width="0" style="1" hidden="1" customWidth="1"/>
    <col min="51" max="16384" width="9.140625" style="1"/>
  </cols>
  <sheetData>
    <row r="1" spans="1:73" ht="17.25" customHeight="1" x14ac:dyDescent="0.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6"/>
      <c r="AK1" s="6"/>
      <c r="AL1" s="6"/>
      <c r="AM1" s="6"/>
      <c r="AN1" s="6"/>
      <c r="AO1" s="6"/>
      <c r="AP1" s="6"/>
      <c r="AQ1" s="6"/>
      <c r="AR1" s="6"/>
      <c r="AS1" s="6"/>
      <c r="AT1" s="6"/>
      <c r="AU1" s="6">
        <f>IF(AR19=0,0,1)</f>
        <v>0</v>
      </c>
      <c r="AV1" s="6"/>
      <c r="AW1" s="6"/>
      <c r="AX1" s="6"/>
      <c r="AY1" s="6"/>
      <c r="AZ1" s="6"/>
      <c r="BA1" s="6"/>
      <c r="BB1" s="6"/>
      <c r="BC1" s="6"/>
      <c r="BD1" s="6"/>
      <c r="BE1" s="6"/>
      <c r="BF1" s="6"/>
      <c r="BG1" s="6"/>
      <c r="BH1" s="6"/>
      <c r="BI1" s="6"/>
      <c r="BJ1" s="6"/>
      <c r="BK1" s="6"/>
      <c r="BL1" s="6"/>
      <c r="BM1" s="6"/>
      <c r="BN1" s="6"/>
      <c r="BO1" s="6"/>
      <c r="BP1" s="6"/>
      <c r="BQ1" s="6"/>
      <c r="BR1" s="6"/>
      <c r="BS1" s="6"/>
      <c r="BT1" s="6"/>
      <c r="BU1" s="6"/>
    </row>
    <row r="2" spans="1:73" ht="30.75" customHeight="1" x14ac:dyDescent="0.2">
      <c r="B2" s="87"/>
      <c r="C2" s="88"/>
      <c r="D2" s="547"/>
      <c r="E2" s="548"/>
      <c r="F2" s="547" t="s">
        <v>0</v>
      </c>
      <c r="G2" s="547"/>
      <c r="H2" s="542">
        <v>138066</v>
      </c>
      <c r="I2" s="543"/>
      <c r="J2" s="544"/>
      <c r="K2" s="545" t="s">
        <v>1</v>
      </c>
      <c r="L2" s="545"/>
      <c r="M2" s="546"/>
      <c r="N2" s="542">
        <v>1001</v>
      </c>
      <c r="O2" s="544"/>
      <c r="Q2" s="91"/>
      <c r="R2" s="91"/>
      <c r="S2" s="91"/>
      <c r="T2" s="91"/>
      <c r="U2" s="91"/>
      <c r="V2" s="91"/>
      <c r="W2" s="91"/>
      <c r="X2" s="91"/>
      <c r="Y2" s="91"/>
      <c r="Z2" s="91"/>
      <c r="AA2" s="91"/>
      <c r="AB2" s="91"/>
      <c r="AC2" s="91"/>
      <c r="AD2" s="91"/>
      <c r="AE2" s="91"/>
      <c r="AF2" s="91"/>
      <c r="AG2" s="89"/>
      <c r="AH2" s="89"/>
      <c r="AI2" s="89"/>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row>
    <row r="3" spans="1:73" x14ac:dyDescent="0.2">
      <c r="B3" s="87"/>
      <c r="C3" s="90"/>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row>
    <row r="4" spans="1:73" s="3" customFormat="1" ht="23.25" customHeight="1" x14ac:dyDescent="0.2">
      <c r="B4" s="92"/>
      <c r="C4" s="525" t="s">
        <v>147</v>
      </c>
      <c r="D4" s="525"/>
      <c r="E4" s="525"/>
      <c r="F4" s="525"/>
      <c r="G4" s="523" t="str">
        <f>IF(NOT(ISBLANK('СПИСОК КЛАССА'!E3)),'СПИСОК КЛАССА'!E3,"")</f>
        <v/>
      </c>
      <c r="H4" s="523"/>
      <c r="I4" s="523"/>
      <c r="J4" s="523"/>
      <c r="K4" s="523"/>
      <c r="L4" s="523"/>
      <c r="M4" s="523"/>
      <c r="N4" s="523"/>
      <c r="O4" s="523"/>
      <c r="P4" s="523"/>
      <c r="Q4" s="523"/>
      <c r="R4" s="523"/>
      <c r="S4" s="523"/>
      <c r="T4" s="523"/>
      <c r="U4" s="523"/>
      <c r="V4" s="523"/>
      <c r="W4" s="291"/>
      <c r="X4" s="291"/>
      <c r="Y4" s="291"/>
      <c r="Z4" s="291"/>
      <c r="AA4" s="291"/>
      <c r="AB4" s="291"/>
      <c r="AC4" s="291"/>
      <c r="AD4" s="291"/>
      <c r="AE4" s="291"/>
      <c r="AF4" s="291"/>
      <c r="AG4" s="89"/>
      <c r="AH4" s="89"/>
      <c r="AI4" s="89"/>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row>
    <row r="5" spans="1:73" x14ac:dyDescent="0.2">
      <c r="B5" s="87"/>
      <c r="C5" s="94"/>
      <c r="D5" s="92"/>
      <c r="E5" s="87"/>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row>
    <row r="6" spans="1:73" ht="17.25" customHeight="1" thickBot="1" x14ac:dyDescent="0.3">
      <c r="B6" s="87"/>
      <c r="C6" s="87"/>
      <c r="D6" s="95" t="s">
        <v>146</v>
      </c>
      <c r="E6" s="96">
        <f>'СПИСОК КЛАССА'!E4</f>
        <v>34</v>
      </c>
      <c r="G6" s="87"/>
      <c r="H6" s="87"/>
      <c r="I6" s="95" t="s">
        <v>12</v>
      </c>
      <c r="J6" s="535" t="s">
        <v>293</v>
      </c>
      <c r="K6" s="535"/>
      <c r="L6" s="535"/>
      <c r="M6" s="535"/>
      <c r="N6" s="105"/>
      <c r="O6" s="91"/>
      <c r="P6" s="105"/>
      <c r="Q6" s="91"/>
      <c r="R6" s="91"/>
      <c r="S6" s="91"/>
      <c r="T6" s="91"/>
      <c r="U6" s="91"/>
      <c r="V6" s="91"/>
      <c r="W6" s="91"/>
      <c r="X6" s="91"/>
      <c r="Y6" s="91"/>
      <c r="Z6" s="91"/>
      <c r="AA6" s="91"/>
      <c r="AB6" s="91"/>
      <c r="AC6" s="91"/>
      <c r="AD6" s="91"/>
      <c r="AE6" s="91"/>
      <c r="AF6" s="91"/>
      <c r="AG6" s="91"/>
      <c r="AH6" s="91"/>
      <c r="AI6" s="91"/>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row>
    <row r="7" spans="1:73" ht="18.75" customHeight="1" thickBot="1" x14ac:dyDescent="0.3">
      <c r="B7" s="87"/>
      <c r="C7" s="99"/>
      <c r="D7" s="95" t="s">
        <v>130</v>
      </c>
      <c r="E7" s="399">
        <f>COUNTIF('СПИСОК КЛАССА'!J20:'СПИСОК КЛАССА'!J59,1)+COUNTIF('СПИСОК КЛАССА'!J20:'СПИСОК КЛАССА'!J59,2)+COUNTIF('СПИСОК КЛАССА'!J20:'СПИСОК КЛАССА'!J59,3)+COUNTIF('СПИСОК КЛАССА'!J20:'СПИСОК КЛАССА'!J59,4)</f>
        <v>34</v>
      </c>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row>
    <row r="8" spans="1:73" x14ac:dyDescent="0.2">
      <c r="B8" s="87"/>
      <c r="C8" s="99"/>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row>
    <row r="9" spans="1:73" ht="16.5" thickBot="1" x14ac:dyDescent="0.3">
      <c r="B9" s="524" t="s">
        <v>177</v>
      </c>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row>
    <row r="10" spans="1:73" ht="15.75" customHeight="1" x14ac:dyDescent="0.2">
      <c r="A10" s="10"/>
      <c r="B10" s="526" t="s">
        <v>2</v>
      </c>
      <c r="C10" s="529" t="s">
        <v>14</v>
      </c>
      <c r="D10" s="532" t="s">
        <v>3</v>
      </c>
      <c r="E10" s="536" t="s">
        <v>149</v>
      </c>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8"/>
      <c r="AJ10" s="268"/>
      <c r="AK10" s="6"/>
      <c r="AL10" s="6"/>
      <c r="AM10" s="6"/>
      <c r="AN10" s="6"/>
      <c r="AO10" s="6"/>
      <c r="AP10" s="6"/>
      <c r="AQ10" s="6"/>
      <c r="AR10" s="6"/>
      <c r="AS10" s="6"/>
      <c r="AT10" s="6"/>
      <c r="AU10" s="6"/>
      <c r="AV10" s="6"/>
      <c r="AW10" s="6"/>
      <c r="AX10" s="6"/>
    </row>
    <row r="11" spans="1:73" ht="76.5" customHeight="1" thickBot="1" x14ac:dyDescent="0.25">
      <c r="A11" s="11"/>
      <c r="B11" s="527"/>
      <c r="C11" s="530"/>
      <c r="D11" s="533"/>
      <c r="E11" s="539"/>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1"/>
      <c r="AJ11" s="6"/>
      <c r="AK11" s="6"/>
      <c r="AL11" s="6"/>
      <c r="AM11" s="6"/>
      <c r="AN11" s="6"/>
      <c r="AO11" s="6"/>
      <c r="AP11" s="6"/>
      <c r="AQ11" s="6"/>
      <c r="AR11" s="6"/>
      <c r="AS11" s="6"/>
      <c r="AT11" s="6"/>
      <c r="AU11" s="6"/>
      <c r="AV11" s="6"/>
      <c r="AW11" s="6"/>
      <c r="AX11" s="6"/>
    </row>
    <row r="12" spans="1:73" ht="24.75" customHeight="1" thickBot="1" x14ac:dyDescent="0.25">
      <c r="A12" s="11"/>
      <c r="B12" s="528"/>
      <c r="C12" s="531"/>
      <c r="D12" s="534"/>
      <c r="E12" s="452">
        <v>1</v>
      </c>
      <c r="F12" s="136">
        <v>2</v>
      </c>
      <c r="G12" s="270">
        <v>3</v>
      </c>
      <c r="H12" s="136">
        <v>4</v>
      </c>
      <c r="I12" s="136">
        <v>5</v>
      </c>
      <c r="J12" s="136">
        <v>6</v>
      </c>
      <c r="K12" s="136">
        <v>7</v>
      </c>
      <c r="L12" s="136">
        <v>8</v>
      </c>
      <c r="M12" s="453">
        <v>9</v>
      </c>
      <c r="N12" s="136">
        <v>10</v>
      </c>
      <c r="O12" s="136">
        <v>11</v>
      </c>
      <c r="P12" s="136">
        <v>12</v>
      </c>
      <c r="Q12" s="270">
        <v>13</v>
      </c>
      <c r="R12" s="136">
        <v>14</v>
      </c>
      <c r="S12" s="136">
        <v>15</v>
      </c>
      <c r="T12" s="136">
        <v>16</v>
      </c>
      <c r="U12" s="136">
        <v>17</v>
      </c>
      <c r="V12" s="137">
        <v>18</v>
      </c>
      <c r="W12" s="448" t="s">
        <v>180</v>
      </c>
      <c r="X12" s="448" t="s">
        <v>181</v>
      </c>
      <c r="Y12" s="448" t="s">
        <v>182</v>
      </c>
      <c r="Z12" s="448" t="s">
        <v>183</v>
      </c>
      <c r="AA12" s="448" t="s">
        <v>184</v>
      </c>
      <c r="AB12" s="448" t="s">
        <v>185</v>
      </c>
      <c r="AC12" s="449" t="s">
        <v>186</v>
      </c>
      <c r="AD12" s="449" t="s">
        <v>187</v>
      </c>
      <c r="AE12" s="449" t="s">
        <v>188</v>
      </c>
      <c r="AF12" s="449" t="s">
        <v>189</v>
      </c>
      <c r="AG12" s="449" t="s">
        <v>190</v>
      </c>
      <c r="AH12" s="450" t="s">
        <v>191</v>
      </c>
      <c r="AI12" s="451" t="s">
        <v>192</v>
      </c>
      <c r="AJ12" s="6"/>
      <c r="AL12" s="6"/>
      <c r="AM12" s="6"/>
      <c r="AN12" s="6"/>
      <c r="AO12" s="6"/>
      <c r="AP12" s="6"/>
      <c r="AQ12" s="6"/>
      <c r="AR12" s="6"/>
      <c r="AS12" s="6"/>
      <c r="AT12" s="6"/>
      <c r="AU12" s="6"/>
      <c r="AV12" s="6"/>
      <c r="AW12" s="6"/>
      <c r="AX12" s="6"/>
    </row>
    <row r="13" spans="1:73" ht="24.75" hidden="1" customHeight="1" x14ac:dyDescent="0.2">
      <c r="A13" s="11"/>
      <c r="B13" s="240"/>
      <c r="C13" s="250"/>
      <c r="D13" s="251"/>
      <c r="E13" s="248"/>
      <c r="F13" s="248"/>
      <c r="G13" s="271"/>
      <c r="H13" s="248"/>
      <c r="I13" s="248"/>
      <c r="J13" s="248"/>
      <c r="K13" s="248"/>
      <c r="L13" s="248"/>
      <c r="M13" s="248"/>
      <c r="N13" s="248"/>
      <c r="O13" s="248"/>
      <c r="P13" s="248"/>
      <c r="Q13" s="248"/>
      <c r="R13" s="248"/>
      <c r="S13" s="248"/>
      <c r="T13" s="248"/>
      <c r="U13" s="248"/>
      <c r="V13" s="273"/>
      <c r="W13" s="292"/>
      <c r="X13" s="292"/>
      <c r="Y13" s="292"/>
      <c r="Z13" s="292"/>
      <c r="AA13" s="292"/>
      <c r="AB13" s="292"/>
      <c r="AC13" s="292"/>
      <c r="AD13" s="292"/>
      <c r="AE13" s="292"/>
      <c r="AF13" s="292"/>
      <c r="AG13" s="271"/>
      <c r="AH13" s="248"/>
      <c r="AI13" s="273"/>
      <c r="AJ13" s="6"/>
      <c r="AK13" s="138"/>
      <c r="AL13" s="6"/>
      <c r="AM13" s="6"/>
      <c r="AN13" s="6"/>
      <c r="AO13" s="6"/>
      <c r="AP13" s="6"/>
      <c r="AQ13" s="6"/>
      <c r="AR13" s="6"/>
      <c r="AS13" s="6"/>
      <c r="AT13" s="6"/>
      <c r="AU13" s="6"/>
      <c r="AV13" s="6"/>
      <c r="AW13" s="6"/>
      <c r="AX13" s="6"/>
    </row>
    <row r="14" spans="1:73" ht="24.75" hidden="1" customHeight="1" x14ac:dyDescent="0.2">
      <c r="A14" s="11"/>
      <c r="B14" s="240"/>
      <c r="C14" s="250"/>
      <c r="D14" s="251"/>
      <c r="E14" s="252"/>
      <c r="F14" s="252"/>
      <c r="G14" s="272"/>
      <c r="H14" s="252"/>
      <c r="I14" s="252"/>
      <c r="J14" s="252"/>
      <c r="K14" s="252"/>
      <c r="L14" s="252"/>
      <c r="M14" s="252"/>
      <c r="N14" s="252"/>
      <c r="O14" s="252"/>
      <c r="P14" s="252"/>
      <c r="Q14" s="252"/>
      <c r="R14" s="252"/>
      <c r="S14" s="252"/>
      <c r="T14" s="252"/>
      <c r="U14" s="252"/>
      <c r="V14" s="274"/>
      <c r="W14" s="293"/>
      <c r="X14" s="293"/>
      <c r="Y14" s="293"/>
      <c r="Z14" s="293"/>
      <c r="AA14" s="293"/>
      <c r="AB14" s="293"/>
      <c r="AC14" s="293"/>
      <c r="AD14" s="293"/>
      <c r="AE14" s="293"/>
      <c r="AF14" s="293"/>
      <c r="AG14" s="272"/>
      <c r="AH14" s="252"/>
      <c r="AI14" s="274"/>
      <c r="AJ14" s="6"/>
      <c r="AK14" s="138"/>
      <c r="AL14" s="6"/>
      <c r="AM14" s="6"/>
      <c r="AN14" s="6"/>
      <c r="AO14" s="6"/>
      <c r="AP14" s="6"/>
      <c r="AQ14" s="6"/>
      <c r="AR14" s="6"/>
      <c r="AS14" s="6"/>
      <c r="AT14" s="6"/>
      <c r="AU14" s="6"/>
      <c r="AV14" s="6"/>
      <c r="AW14" s="6"/>
      <c r="AX14" s="6"/>
    </row>
    <row r="15" spans="1:73" ht="24.75" hidden="1" customHeight="1" x14ac:dyDescent="0.2">
      <c r="A15" s="11"/>
      <c r="B15" s="240"/>
      <c r="C15" s="250"/>
      <c r="D15" s="251"/>
      <c r="E15" s="252"/>
      <c r="F15" s="252"/>
      <c r="G15" s="272"/>
      <c r="H15" s="252"/>
      <c r="I15" s="252"/>
      <c r="J15" s="252"/>
      <c r="K15" s="252"/>
      <c r="L15" s="252"/>
      <c r="M15" s="252"/>
      <c r="N15" s="252"/>
      <c r="O15" s="252"/>
      <c r="P15" s="252"/>
      <c r="Q15" s="252"/>
      <c r="R15" s="252"/>
      <c r="S15" s="252"/>
      <c r="T15" s="252"/>
      <c r="U15" s="252"/>
      <c r="V15" s="274"/>
      <c r="W15" s="293"/>
      <c r="X15" s="293"/>
      <c r="Y15" s="293"/>
      <c r="Z15" s="293"/>
      <c r="AA15" s="293"/>
      <c r="AB15" s="293"/>
      <c r="AC15" s="293"/>
      <c r="AD15" s="293"/>
      <c r="AE15" s="293"/>
      <c r="AF15" s="293"/>
      <c r="AG15" s="272"/>
      <c r="AH15" s="252"/>
      <c r="AI15" s="274"/>
      <c r="AJ15" s="6"/>
      <c r="AK15" s="138"/>
      <c r="AL15" s="6"/>
      <c r="AM15" s="6"/>
      <c r="AN15" s="6"/>
      <c r="AO15" s="6"/>
      <c r="AP15" s="6"/>
      <c r="AQ15" s="6"/>
      <c r="AR15" s="6"/>
      <c r="AS15" s="6"/>
      <c r="AT15" s="6"/>
      <c r="AU15" s="6"/>
      <c r="AV15" s="6"/>
      <c r="AW15" s="6"/>
      <c r="AX15" s="6"/>
    </row>
    <row r="16" spans="1:73" ht="24.75" hidden="1" customHeight="1" x14ac:dyDescent="0.2">
      <c r="A16" s="11"/>
      <c r="B16" s="240"/>
      <c r="C16" s="250"/>
      <c r="D16" s="251"/>
      <c r="E16" s="252"/>
      <c r="F16" s="252"/>
      <c r="G16" s="272"/>
      <c r="H16" s="252"/>
      <c r="I16" s="252"/>
      <c r="J16" s="252"/>
      <c r="K16" s="252"/>
      <c r="L16" s="252"/>
      <c r="M16" s="252"/>
      <c r="N16" s="252"/>
      <c r="O16" s="252"/>
      <c r="P16" s="252"/>
      <c r="Q16" s="252"/>
      <c r="R16" s="252"/>
      <c r="S16" s="252"/>
      <c r="T16" s="252"/>
      <c r="U16" s="252"/>
      <c r="V16" s="274"/>
      <c r="W16" s="293"/>
      <c r="X16" s="293"/>
      <c r="Y16" s="293"/>
      <c r="Z16" s="293"/>
      <c r="AA16" s="293"/>
      <c r="AB16" s="293"/>
      <c r="AC16" s="293"/>
      <c r="AD16" s="293"/>
      <c r="AE16" s="293"/>
      <c r="AF16" s="293"/>
      <c r="AG16" s="272"/>
      <c r="AH16" s="252"/>
      <c r="AI16" s="274"/>
      <c r="AJ16" s="6"/>
      <c r="AK16" s="276"/>
      <c r="AL16" s="6"/>
      <c r="AM16" s="6"/>
      <c r="AN16" s="6"/>
      <c r="AO16" s="6"/>
      <c r="AP16" s="6"/>
      <c r="AQ16" s="6"/>
      <c r="AR16" s="6"/>
      <c r="AS16" s="6"/>
      <c r="AT16" s="6"/>
      <c r="AU16" s="6"/>
      <c r="AV16" s="6"/>
      <c r="AW16" s="6"/>
      <c r="AX16" s="6"/>
    </row>
    <row r="17" spans="1:50" ht="24.75" hidden="1" customHeight="1" x14ac:dyDescent="0.2">
      <c r="A17" s="11"/>
      <c r="B17" s="240"/>
      <c r="C17" s="250"/>
      <c r="D17" s="251"/>
      <c r="E17" s="252"/>
      <c r="F17" s="252"/>
      <c r="G17" s="272"/>
      <c r="H17" s="252"/>
      <c r="I17" s="252"/>
      <c r="J17" s="252"/>
      <c r="K17" s="252"/>
      <c r="L17" s="252"/>
      <c r="M17" s="252"/>
      <c r="N17" s="252"/>
      <c r="O17" s="252"/>
      <c r="P17" s="252"/>
      <c r="Q17" s="252"/>
      <c r="R17" s="252"/>
      <c r="S17" s="252"/>
      <c r="T17" s="252"/>
      <c r="U17" s="252"/>
      <c r="V17" s="274"/>
      <c r="W17" s="293"/>
      <c r="X17" s="293"/>
      <c r="Y17" s="293"/>
      <c r="Z17" s="293"/>
      <c r="AA17" s="293"/>
      <c r="AB17" s="293"/>
      <c r="AC17" s="293"/>
      <c r="AD17" s="293"/>
      <c r="AE17" s="293"/>
      <c r="AF17" s="293"/>
      <c r="AG17" s="272"/>
      <c r="AH17" s="252"/>
      <c r="AI17" s="274"/>
      <c r="AJ17" s="6"/>
      <c r="AK17" s="138"/>
      <c r="AL17" s="6"/>
      <c r="AM17" s="6"/>
      <c r="AN17" s="6"/>
      <c r="AO17" s="6"/>
      <c r="AP17" s="6"/>
      <c r="AQ17" s="6"/>
      <c r="AR17" s="6"/>
      <c r="AS17" s="6"/>
      <c r="AT17" s="6"/>
      <c r="AU17" s="6"/>
      <c r="AV17" s="6"/>
      <c r="AW17" s="6"/>
      <c r="AX17" s="6"/>
    </row>
    <row r="18" spans="1:50" ht="24.75" hidden="1" customHeight="1" x14ac:dyDescent="0.2">
      <c r="A18" s="11"/>
      <c r="B18" s="240"/>
      <c r="C18" s="250"/>
      <c r="D18" s="251"/>
      <c r="E18" s="252"/>
      <c r="F18" s="252"/>
      <c r="G18" s="272"/>
      <c r="H18" s="252"/>
      <c r="I18" s="252"/>
      <c r="J18" s="252"/>
      <c r="K18" s="252"/>
      <c r="L18" s="252"/>
      <c r="M18" s="252"/>
      <c r="N18" s="252"/>
      <c r="O18" s="252"/>
      <c r="P18" s="252"/>
      <c r="Q18" s="252"/>
      <c r="R18" s="252"/>
      <c r="S18" s="253"/>
      <c r="T18" s="252"/>
      <c r="U18" s="252"/>
      <c r="V18" s="274"/>
      <c r="W18" s="293"/>
      <c r="X18" s="293"/>
      <c r="Y18" s="293"/>
      <c r="Z18" s="293"/>
      <c r="AA18" s="293"/>
      <c r="AB18" s="293"/>
      <c r="AC18" s="293"/>
      <c r="AD18" s="293"/>
      <c r="AE18" s="293"/>
      <c r="AF18" s="293"/>
      <c r="AG18" s="272"/>
      <c r="AH18" s="252"/>
      <c r="AI18" s="274"/>
      <c r="AJ18" s="6"/>
      <c r="AK18" s="138"/>
      <c r="AL18" s="6"/>
      <c r="AM18" s="6"/>
      <c r="AN18" s="6"/>
      <c r="AO18" s="6"/>
      <c r="AP18" s="6"/>
      <c r="AQ18" s="6"/>
      <c r="AR18" s="6"/>
      <c r="AS18" s="6"/>
      <c r="AT18" s="6"/>
      <c r="AU18" s="6"/>
      <c r="AV18" s="6"/>
      <c r="AW18" s="6"/>
      <c r="AX18" s="6"/>
    </row>
    <row r="19" spans="1:50" ht="24.75" hidden="1" customHeight="1" thickBot="1" x14ac:dyDescent="0.25">
      <c r="A19" s="11"/>
      <c r="B19" s="240"/>
      <c r="C19" s="250"/>
      <c r="D19" s="251"/>
      <c r="E19" s="253"/>
      <c r="F19" s="253"/>
      <c r="G19" s="267"/>
      <c r="H19" s="253"/>
      <c r="I19" s="253"/>
      <c r="J19" s="253"/>
      <c r="K19" s="253"/>
      <c r="L19" s="253"/>
      <c r="M19" s="253"/>
      <c r="N19" s="253"/>
      <c r="O19" s="253"/>
      <c r="P19" s="253"/>
      <c r="Q19" s="253"/>
      <c r="R19" s="266"/>
      <c r="S19" s="253"/>
      <c r="T19" s="267"/>
      <c r="U19" s="253"/>
      <c r="V19" s="275"/>
      <c r="W19" s="294"/>
      <c r="X19" s="294"/>
      <c r="Y19" s="294"/>
      <c r="Z19" s="294"/>
      <c r="AA19" s="294"/>
      <c r="AB19" s="294"/>
      <c r="AC19" s="294"/>
      <c r="AD19" s="294"/>
      <c r="AE19" s="294"/>
      <c r="AF19" s="294"/>
      <c r="AG19" s="267"/>
      <c r="AH19" s="253"/>
      <c r="AI19" s="275"/>
      <c r="AJ19" s="6"/>
      <c r="AK19" s="138"/>
      <c r="AL19" s="6"/>
      <c r="AM19" s="6"/>
      <c r="AN19" s="6"/>
      <c r="AO19" s="6"/>
      <c r="AP19" s="6"/>
      <c r="AQ19" s="6"/>
      <c r="AR19" s="6">
        <f>SUM(AR20:AR59)</f>
        <v>0</v>
      </c>
      <c r="AS19" s="6"/>
      <c r="AT19" s="6"/>
      <c r="AU19" s="6"/>
      <c r="AV19" s="6"/>
      <c r="AW19" s="6"/>
      <c r="AX19" s="6"/>
    </row>
    <row r="20" spans="1:50" ht="12.75" customHeight="1" x14ac:dyDescent="0.2">
      <c r="A20" s="286">
        <f>IF('СПИСОК КЛАССА'!J20&gt;0,1,0)</f>
        <v>1</v>
      </c>
      <c r="B20" s="283">
        <v>1</v>
      </c>
      <c r="C20" s="281">
        <f>IF(NOT(ISBLANK('СПИСОК КЛАССА'!C20)),'СПИСОК КЛАССА'!C20,"")</f>
        <v>1</v>
      </c>
      <c r="D20" s="279" t="str">
        <f>IF(NOT(ISBLANK('СПИСОК КЛАССА'!D20)),IF($A20=1,'СПИСОК КЛАССА'!D20, "УЧЕНИК НЕ ВЫПОЛНЯЛ РАБОТУ"),"")</f>
        <v/>
      </c>
      <c r="E20" s="140">
        <v>0</v>
      </c>
      <c r="F20" s="150">
        <v>1</v>
      </c>
      <c r="G20" s="150">
        <v>3</v>
      </c>
      <c r="H20" s="150">
        <v>-8</v>
      </c>
      <c r="I20" s="150">
        <v>1234</v>
      </c>
      <c r="J20" s="150">
        <v>240</v>
      </c>
      <c r="K20" s="150">
        <v>3</v>
      </c>
      <c r="L20" s="150">
        <v>2</v>
      </c>
      <c r="M20" s="150">
        <v>0</v>
      </c>
      <c r="N20" s="150">
        <v>1</v>
      </c>
      <c r="O20" s="150" t="s">
        <v>311</v>
      </c>
      <c r="P20" s="150">
        <v>3125</v>
      </c>
      <c r="Q20" s="150">
        <v>2</v>
      </c>
      <c r="R20" s="150">
        <v>66</v>
      </c>
      <c r="S20" s="150">
        <v>0</v>
      </c>
      <c r="T20" s="150">
        <v>3</v>
      </c>
      <c r="U20" s="150">
        <v>25</v>
      </c>
      <c r="V20" s="142">
        <v>1500</v>
      </c>
      <c r="W20" s="140">
        <v>0.4</v>
      </c>
      <c r="X20" s="150">
        <v>0.4</v>
      </c>
      <c r="Y20" s="150">
        <v>0.4</v>
      </c>
      <c r="Z20" s="150">
        <v>0.4</v>
      </c>
      <c r="AA20" s="141">
        <v>0.4</v>
      </c>
      <c r="AB20" s="140" t="s">
        <v>132</v>
      </c>
      <c r="AC20" s="150" t="s">
        <v>132</v>
      </c>
      <c r="AD20" s="150" t="s">
        <v>132</v>
      </c>
      <c r="AE20" s="141" t="s">
        <v>132</v>
      </c>
      <c r="AF20" s="140">
        <v>0.5</v>
      </c>
      <c r="AG20" s="150">
        <v>0.5</v>
      </c>
      <c r="AH20" s="150">
        <v>0.5</v>
      </c>
      <c r="AI20" s="141" t="s">
        <v>309</v>
      </c>
      <c r="AJ20" s="6"/>
      <c r="AK20" s="138"/>
      <c r="AL20" s="6"/>
      <c r="AM20" s="6"/>
      <c r="AN20" s="6"/>
      <c r="AO20" s="6"/>
      <c r="AP20" s="6"/>
      <c r="AQ20" s="6"/>
      <c r="AR20" s="6">
        <f>IF(AND(OR($C20&lt;&gt;"",$D20&lt;&gt;""),$A20=1,ISBLANK(E20))=TRUE,1,0)</f>
        <v>0</v>
      </c>
      <c r="AS20" s="6"/>
      <c r="AT20" s="6"/>
      <c r="AU20" s="6"/>
      <c r="AV20" s="6"/>
      <c r="AW20" s="6"/>
      <c r="AX20" s="6"/>
    </row>
    <row r="21" spans="1:50" ht="12.75" customHeight="1" x14ac:dyDescent="0.2">
      <c r="A21" s="287">
        <f>IF('СПИСОК КЛАССА'!J21&gt;0,1,0)</f>
        <v>1</v>
      </c>
      <c r="B21" s="284">
        <v>2</v>
      </c>
      <c r="C21" s="277">
        <f>IF(NOT(ISBLANK('СПИСОК КЛАССА'!C21)),'СПИСОК КЛАССА'!C21,"")</f>
        <v>2</v>
      </c>
      <c r="D21" s="278" t="str">
        <f>IF(NOT(ISBLANK('СПИСОК КЛАССА'!D21)),IF($A21=1,'СПИСОК КЛАССА'!D21, "УЧЕНИК НЕ ВЫПОЛНЯЛ РАБОТУ"),"")</f>
        <v/>
      </c>
      <c r="E21" s="133">
        <v>1</v>
      </c>
      <c r="F21" s="102">
        <v>2</v>
      </c>
      <c r="G21" s="102">
        <v>1</v>
      </c>
      <c r="H21" s="102">
        <v>-6</v>
      </c>
      <c r="I21" s="102">
        <v>3412</v>
      </c>
      <c r="J21" s="102">
        <v>390</v>
      </c>
      <c r="K21" s="102">
        <v>1</v>
      </c>
      <c r="L21" s="102">
        <v>1</v>
      </c>
      <c r="M21" s="102">
        <v>1</v>
      </c>
      <c r="N21" s="102">
        <v>3</v>
      </c>
      <c r="O21" s="102" t="s">
        <v>313</v>
      </c>
      <c r="P21" s="102">
        <v>2351</v>
      </c>
      <c r="Q21" s="102">
        <v>2</v>
      </c>
      <c r="R21" s="102">
        <v>35</v>
      </c>
      <c r="S21" s="102">
        <v>0</v>
      </c>
      <c r="T21" s="102">
        <v>2</v>
      </c>
      <c r="U21" s="102">
        <v>11</v>
      </c>
      <c r="V21" s="143">
        <v>3000</v>
      </c>
      <c r="W21" s="133">
        <v>0.4</v>
      </c>
      <c r="X21" s="102">
        <v>0.4</v>
      </c>
      <c r="Y21" s="102">
        <v>0.4</v>
      </c>
      <c r="Z21" s="102">
        <v>0.4</v>
      </c>
      <c r="AA21" s="289">
        <v>0.4</v>
      </c>
      <c r="AB21" s="133">
        <v>0.5</v>
      </c>
      <c r="AC21" s="102">
        <v>0.5</v>
      </c>
      <c r="AD21" s="102">
        <v>0.5</v>
      </c>
      <c r="AE21" s="289">
        <v>0.5</v>
      </c>
      <c r="AF21" s="133" t="s">
        <v>132</v>
      </c>
      <c r="AG21" s="102" t="s">
        <v>132</v>
      </c>
      <c r="AH21" s="102" t="s">
        <v>132</v>
      </c>
      <c r="AI21" s="289" t="s">
        <v>132</v>
      </c>
      <c r="AJ21" s="6"/>
      <c r="AK21" s="138"/>
      <c r="AL21" s="6"/>
      <c r="AM21" s="6"/>
      <c r="AN21" s="6"/>
      <c r="AO21" s="6"/>
      <c r="AP21" s="6"/>
      <c r="AQ21" s="6"/>
      <c r="AR21" s="6">
        <f t="shared" ref="AR21:AR59" si="0">IF(AND(OR($C21&lt;&gt;"",$D21&lt;&gt;""),$A21=1,ISBLANK(E21))=TRUE,1,0)</f>
        <v>0</v>
      </c>
      <c r="AS21" s="6"/>
      <c r="AT21" s="6"/>
      <c r="AU21" s="6"/>
      <c r="AV21" s="6"/>
      <c r="AW21" s="6"/>
      <c r="AX21" s="6"/>
    </row>
    <row r="22" spans="1:50" ht="12.75" customHeight="1" x14ac:dyDescent="0.2">
      <c r="A22" s="287">
        <f>IF('СПИСОК КЛАССА'!J22&gt;0,1,0)</f>
        <v>1</v>
      </c>
      <c r="B22" s="284">
        <v>3</v>
      </c>
      <c r="C22" s="277">
        <f>IF(NOT(ISBLANK('СПИСОК КЛАССА'!C22)),'СПИСОК КЛАССА'!C22,"")</f>
        <v>3</v>
      </c>
      <c r="D22" s="278" t="str">
        <f>IF(NOT(ISBLANK('СПИСОК КЛАССА'!D22)),IF($A22=1,'СПИСОК КЛАССА'!D22, "УЧЕНИК НЕ ВЫПОЛНЯЛ РАБОТУ"),"")</f>
        <v/>
      </c>
      <c r="E22" s="133">
        <v>1</v>
      </c>
      <c r="F22" s="102">
        <v>2</v>
      </c>
      <c r="G22" s="102">
        <v>1</v>
      </c>
      <c r="H22" s="102">
        <v>-6</v>
      </c>
      <c r="I22" s="102">
        <v>3412</v>
      </c>
      <c r="J22" s="102">
        <v>390</v>
      </c>
      <c r="K22" s="102">
        <v>1</v>
      </c>
      <c r="L22" s="102">
        <v>3</v>
      </c>
      <c r="M22" s="102">
        <v>1</v>
      </c>
      <c r="N22" s="102">
        <v>3</v>
      </c>
      <c r="O22" s="102" t="s">
        <v>312</v>
      </c>
      <c r="P22" s="102">
        <v>2351</v>
      </c>
      <c r="Q22" s="102">
        <v>2</v>
      </c>
      <c r="R22" s="102">
        <v>35</v>
      </c>
      <c r="S22" s="102">
        <v>1</v>
      </c>
      <c r="T22" s="102">
        <v>3</v>
      </c>
      <c r="U22" s="102">
        <v>11</v>
      </c>
      <c r="V22" s="143">
        <v>3000</v>
      </c>
      <c r="W22" s="133">
        <v>0.4</v>
      </c>
      <c r="X22" s="102">
        <v>0.4</v>
      </c>
      <c r="Y22" s="102">
        <v>0.4</v>
      </c>
      <c r="Z22" s="102">
        <v>0.4</v>
      </c>
      <c r="AA22" s="289">
        <v>0.4</v>
      </c>
      <c r="AB22" s="133">
        <v>0.5</v>
      </c>
      <c r="AC22" s="102">
        <v>0.5</v>
      </c>
      <c r="AD22" s="102">
        <v>0.5</v>
      </c>
      <c r="AE22" s="289">
        <v>0.5</v>
      </c>
      <c r="AF22" s="133">
        <v>0.5</v>
      </c>
      <c r="AG22" s="102">
        <v>0.5</v>
      </c>
      <c r="AH22" s="102">
        <v>0.5</v>
      </c>
      <c r="AI22" s="289">
        <v>0.5</v>
      </c>
      <c r="AJ22" s="6"/>
      <c r="AK22" s="138"/>
      <c r="AL22" s="6"/>
      <c r="AM22" s="6"/>
      <c r="AN22" s="6"/>
      <c r="AO22" s="6"/>
      <c r="AP22" s="6"/>
      <c r="AQ22" s="6"/>
      <c r="AR22" s="6">
        <f t="shared" si="0"/>
        <v>0</v>
      </c>
      <c r="AS22" s="6"/>
      <c r="AT22" s="6"/>
      <c r="AU22" s="6"/>
      <c r="AV22" s="6"/>
      <c r="AW22" s="6"/>
      <c r="AX22" s="6"/>
    </row>
    <row r="23" spans="1:50" ht="12.75" customHeight="1" x14ac:dyDescent="0.2">
      <c r="A23" s="287">
        <f>IF('СПИСОК КЛАССА'!J23&gt;0,1,0)</f>
        <v>1</v>
      </c>
      <c r="B23" s="284">
        <v>4</v>
      </c>
      <c r="C23" s="277">
        <f>IF(NOT(ISBLANK('СПИСОК КЛАССА'!C23)),'СПИСОК КЛАССА'!C23,"")</f>
        <v>4</v>
      </c>
      <c r="D23" s="278" t="str">
        <f>IF(NOT(ISBLANK('СПИСОК КЛАССА'!D23)),IF($A23=1,'СПИСОК КЛАССА'!D23, "УЧЕНИК НЕ ВЫПОЛНЯЛ РАБОТУ"),"")</f>
        <v/>
      </c>
      <c r="E23" s="133">
        <v>1</v>
      </c>
      <c r="F23" s="102">
        <v>2</v>
      </c>
      <c r="G23" s="102">
        <v>1</v>
      </c>
      <c r="H23" s="102">
        <v>-6</v>
      </c>
      <c r="I23" s="102">
        <v>3412</v>
      </c>
      <c r="J23" s="102">
        <v>390</v>
      </c>
      <c r="K23" s="102">
        <v>1</v>
      </c>
      <c r="L23" s="102">
        <v>3</v>
      </c>
      <c r="M23" s="102">
        <v>1</v>
      </c>
      <c r="N23" s="102">
        <v>3</v>
      </c>
      <c r="O23" s="102" t="s">
        <v>312</v>
      </c>
      <c r="P23" s="102">
        <v>2351</v>
      </c>
      <c r="Q23" s="102">
        <v>2</v>
      </c>
      <c r="R23" s="102">
        <v>35</v>
      </c>
      <c r="S23" s="102">
        <v>0</v>
      </c>
      <c r="T23" s="102">
        <v>3</v>
      </c>
      <c r="U23" s="102">
        <v>11</v>
      </c>
      <c r="V23" s="143">
        <v>3000</v>
      </c>
      <c r="W23" s="133">
        <v>0.4</v>
      </c>
      <c r="X23" s="102">
        <v>0.4</v>
      </c>
      <c r="Y23" s="102">
        <v>0.4</v>
      </c>
      <c r="Z23" s="102">
        <v>0.4</v>
      </c>
      <c r="AA23" s="289">
        <v>0.4</v>
      </c>
      <c r="AB23" s="133">
        <v>0.5</v>
      </c>
      <c r="AC23" s="102">
        <v>0.5</v>
      </c>
      <c r="AD23" s="102">
        <v>0.5</v>
      </c>
      <c r="AE23" s="289">
        <v>0.5</v>
      </c>
      <c r="AF23" s="133">
        <v>0.5</v>
      </c>
      <c r="AG23" s="102">
        <v>0.5</v>
      </c>
      <c r="AH23" s="102">
        <v>0.5</v>
      </c>
      <c r="AI23" s="289">
        <v>0.5</v>
      </c>
      <c r="AJ23" s="6"/>
      <c r="AK23" s="138"/>
      <c r="AL23" s="6"/>
      <c r="AM23" s="6"/>
      <c r="AN23" s="6"/>
      <c r="AO23" s="6"/>
      <c r="AP23" s="6"/>
      <c r="AQ23" s="6"/>
      <c r="AR23" s="6">
        <f t="shared" si="0"/>
        <v>0</v>
      </c>
      <c r="AS23" s="6"/>
      <c r="AT23" s="6"/>
      <c r="AU23" s="6"/>
      <c r="AV23" s="6"/>
      <c r="AW23" s="6"/>
      <c r="AX23" s="6"/>
    </row>
    <row r="24" spans="1:50" ht="12.75" customHeight="1" x14ac:dyDescent="0.2">
      <c r="A24" s="287">
        <f>IF('СПИСОК КЛАССА'!J24&gt;0,1,0)</f>
        <v>1</v>
      </c>
      <c r="B24" s="284">
        <v>5</v>
      </c>
      <c r="C24" s="277">
        <f>IF(NOT(ISBLANK('СПИСОК КЛАССА'!C24)),'СПИСОК КЛАССА'!C24,"")</f>
        <v>5</v>
      </c>
      <c r="D24" s="278" t="str">
        <f>IF(NOT(ISBLANK('СПИСОК КЛАССА'!D24)),IF($A24=1,'СПИСОК КЛАССА'!D24, "УЧЕНИК НЕ ВЫПОЛНЯЛ РАБОТУ"),"")</f>
        <v/>
      </c>
      <c r="E24" s="133">
        <v>0</v>
      </c>
      <c r="F24" s="102">
        <v>2</v>
      </c>
      <c r="G24" s="102">
        <v>1</v>
      </c>
      <c r="H24" s="102">
        <v>-6</v>
      </c>
      <c r="I24" s="102">
        <v>3412</v>
      </c>
      <c r="J24" s="102">
        <v>1</v>
      </c>
      <c r="K24" s="102">
        <v>1</v>
      </c>
      <c r="L24" s="102">
        <v>1</v>
      </c>
      <c r="M24" s="102">
        <v>0</v>
      </c>
      <c r="N24" s="102">
        <v>3</v>
      </c>
      <c r="O24" s="102" t="s">
        <v>310</v>
      </c>
      <c r="P24" s="102">
        <v>2351</v>
      </c>
      <c r="Q24" s="102">
        <v>2</v>
      </c>
      <c r="R24" s="102">
        <v>35</v>
      </c>
      <c r="S24" s="102">
        <v>45</v>
      </c>
      <c r="T24" s="102">
        <v>3</v>
      </c>
      <c r="U24" s="102">
        <v>11</v>
      </c>
      <c r="V24" s="143">
        <v>3000</v>
      </c>
      <c r="W24" s="133">
        <v>0.4</v>
      </c>
      <c r="X24" s="102">
        <v>0.4</v>
      </c>
      <c r="Y24" s="102">
        <v>0</v>
      </c>
      <c r="Z24" s="102">
        <v>0</v>
      </c>
      <c r="AA24" s="289">
        <v>0</v>
      </c>
      <c r="AB24" s="133" t="s">
        <v>132</v>
      </c>
      <c r="AC24" s="102" t="s">
        <v>132</v>
      </c>
      <c r="AD24" s="102" t="s">
        <v>132</v>
      </c>
      <c r="AE24" s="289" t="s">
        <v>132</v>
      </c>
      <c r="AF24" s="133" t="s">
        <v>132</v>
      </c>
      <c r="AG24" s="102" t="s">
        <v>132</v>
      </c>
      <c r="AH24" s="102" t="s">
        <v>132</v>
      </c>
      <c r="AI24" s="289" t="s">
        <v>132</v>
      </c>
      <c r="AJ24" s="6"/>
      <c r="AK24" s="138"/>
      <c r="AL24" s="6"/>
      <c r="AM24" s="6"/>
      <c r="AN24" s="6"/>
      <c r="AO24" s="6"/>
      <c r="AP24" s="6"/>
      <c r="AQ24" s="6"/>
      <c r="AR24" s="6">
        <f t="shared" si="0"/>
        <v>0</v>
      </c>
      <c r="AS24" s="6"/>
      <c r="AT24" s="6"/>
      <c r="AU24" s="6"/>
      <c r="AV24" s="6"/>
      <c r="AW24" s="6"/>
      <c r="AX24" s="6"/>
    </row>
    <row r="25" spans="1:50" ht="12.75" customHeight="1" x14ac:dyDescent="0.25">
      <c r="A25" s="287">
        <f>IF('СПИСОК КЛАССА'!J25&gt;0,1,0)</f>
        <v>1</v>
      </c>
      <c r="B25" s="284">
        <v>6</v>
      </c>
      <c r="C25" s="277">
        <f>IF(NOT(ISBLANK('СПИСОК КЛАССА'!C25)),'СПИСОК КЛАССА'!C25,"")</f>
        <v>6</v>
      </c>
      <c r="D25" s="278" t="str">
        <f>IF(NOT(ISBLANK('СПИСОК КЛАССА'!D25)),IF($A25=1,'СПИСОК КЛАССА'!D25, "УЧЕНИК НЕ ВЫПОЛНЯЛ РАБОТУ"),"")</f>
        <v/>
      </c>
      <c r="E25" s="133">
        <v>1</v>
      </c>
      <c r="F25" s="102">
        <v>2</v>
      </c>
      <c r="G25" s="102">
        <v>1</v>
      </c>
      <c r="H25" s="102">
        <v>-6</v>
      </c>
      <c r="I25" s="102">
        <v>3412</v>
      </c>
      <c r="J25" s="102">
        <v>390</v>
      </c>
      <c r="K25" s="102">
        <v>1</v>
      </c>
      <c r="L25" s="102">
        <v>3</v>
      </c>
      <c r="M25" s="102" t="s">
        <v>132</v>
      </c>
      <c r="N25" s="102">
        <v>3</v>
      </c>
      <c r="O25" s="102" t="s">
        <v>312</v>
      </c>
      <c r="P25" s="102">
        <v>2315</v>
      </c>
      <c r="Q25" s="102">
        <v>2</v>
      </c>
      <c r="R25" s="102">
        <v>35</v>
      </c>
      <c r="S25" s="102">
        <v>0</v>
      </c>
      <c r="T25" s="102">
        <v>3</v>
      </c>
      <c r="U25" s="102">
        <v>11</v>
      </c>
      <c r="V25" s="143">
        <v>3000</v>
      </c>
      <c r="W25" s="133">
        <v>0.4</v>
      </c>
      <c r="X25" s="102">
        <v>0.4</v>
      </c>
      <c r="Y25" s="102">
        <v>0.4</v>
      </c>
      <c r="Z25" s="102">
        <v>0.4</v>
      </c>
      <c r="AA25" s="289">
        <v>0.4</v>
      </c>
      <c r="AB25" s="133" t="s">
        <v>132</v>
      </c>
      <c r="AC25" s="102" t="s">
        <v>132</v>
      </c>
      <c r="AD25" s="102" t="s">
        <v>132</v>
      </c>
      <c r="AE25" s="289" t="s">
        <v>132</v>
      </c>
      <c r="AF25" s="133" t="s">
        <v>132</v>
      </c>
      <c r="AG25" s="102" t="s">
        <v>132</v>
      </c>
      <c r="AH25" s="102" t="s">
        <v>132</v>
      </c>
      <c r="AI25" s="289" t="s">
        <v>132</v>
      </c>
      <c r="AJ25" s="6"/>
      <c r="AK25" s="139"/>
      <c r="AL25" s="6"/>
      <c r="AM25" s="6"/>
      <c r="AN25" s="6"/>
      <c r="AO25" s="6"/>
      <c r="AP25" s="6"/>
      <c r="AQ25" s="6"/>
      <c r="AR25" s="6">
        <f t="shared" si="0"/>
        <v>0</v>
      </c>
      <c r="AS25" s="6"/>
      <c r="AT25" s="6"/>
      <c r="AU25" s="6"/>
      <c r="AV25" s="6"/>
      <c r="AW25" s="6"/>
      <c r="AX25" s="6"/>
    </row>
    <row r="26" spans="1:50" ht="12.75" customHeight="1" x14ac:dyDescent="0.2">
      <c r="A26" s="287">
        <f>IF('СПИСОК КЛАССА'!J26&gt;0,1,0)</f>
        <v>1</v>
      </c>
      <c r="B26" s="284">
        <v>7</v>
      </c>
      <c r="C26" s="277">
        <f>IF(NOT(ISBLANK('СПИСОК КЛАССА'!C26)),'СПИСОК КЛАССА'!C26,"")</f>
        <v>7</v>
      </c>
      <c r="D26" s="278" t="str">
        <f>IF(NOT(ISBLANK('СПИСОК КЛАССА'!D26)),IF($A26=1,'СПИСОК КЛАССА'!D26, "УЧЕНИК НЕ ВЫПОЛНЯЛ РАБОТУ"),"")</f>
        <v/>
      </c>
      <c r="E26" s="133">
        <v>1</v>
      </c>
      <c r="F26" s="102">
        <v>4</v>
      </c>
      <c r="G26" s="102">
        <v>3</v>
      </c>
      <c r="H26" s="102">
        <v>3</v>
      </c>
      <c r="I26" s="102">
        <v>2315</v>
      </c>
      <c r="J26" s="102">
        <v>273</v>
      </c>
      <c r="K26" s="102">
        <v>2</v>
      </c>
      <c r="L26" s="102">
        <v>1</v>
      </c>
      <c r="M26" s="102">
        <v>1</v>
      </c>
      <c r="N26" s="102">
        <v>1</v>
      </c>
      <c r="O26" s="102" t="s">
        <v>315</v>
      </c>
      <c r="P26" s="102">
        <v>4132</v>
      </c>
      <c r="Q26" s="102">
        <v>9</v>
      </c>
      <c r="R26" s="102">
        <v>74</v>
      </c>
      <c r="S26" s="102">
        <v>0</v>
      </c>
      <c r="T26" s="102">
        <v>4</v>
      </c>
      <c r="U26" s="102">
        <v>14</v>
      </c>
      <c r="V26" s="143">
        <v>2500</v>
      </c>
      <c r="W26" s="133">
        <v>0.4</v>
      </c>
      <c r="X26" s="102">
        <v>0.4</v>
      </c>
      <c r="Y26" s="102">
        <v>0.4</v>
      </c>
      <c r="Z26" s="102">
        <v>0.4</v>
      </c>
      <c r="AA26" s="289">
        <v>0.4</v>
      </c>
      <c r="AB26" s="133">
        <v>0.5</v>
      </c>
      <c r="AC26" s="102">
        <v>0.5</v>
      </c>
      <c r="AD26" s="102">
        <v>0.5</v>
      </c>
      <c r="AE26" s="289">
        <v>0.5</v>
      </c>
      <c r="AF26" s="133" t="s">
        <v>132</v>
      </c>
      <c r="AG26" s="102" t="s">
        <v>132</v>
      </c>
      <c r="AH26" s="102" t="s">
        <v>132</v>
      </c>
      <c r="AI26" s="289" t="s">
        <v>132</v>
      </c>
      <c r="AJ26" s="6"/>
      <c r="AK26" s="6"/>
      <c r="AL26" s="6"/>
      <c r="AM26" s="6"/>
      <c r="AN26" s="6"/>
      <c r="AO26" s="6"/>
      <c r="AP26" s="6"/>
      <c r="AQ26" s="6"/>
      <c r="AR26" s="6">
        <f t="shared" si="0"/>
        <v>0</v>
      </c>
      <c r="AS26" s="6"/>
      <c r="AT26" s="6"/>
      <c r="AU26" s="6"/>
      <c r="AV26" s="6"/>
      <c r="AW26" s="6"/>
      <c r="AX26" s="6"/>
    </row>
    <row r="27" spans="1:50" ht="12.75" customHeight="1" x14ac:dyDescent="0.2">
      <c r="A27" s="287">
        <f>IF('СПИСОК КЛАССА'!J27&gt;0,1,0)</f>
        <v>1</v>
      </c>
      <c r="B27" s="284">
        <v>8</v>
      </c>
      <c r="C27" s="277">
        <f>IF(NOT(ISBLANK('СПИСОК КЛАССА'!C27)),'СПИСОК КЛАССА'!C27,"")</f>
        <v>8</v>
      </c>
      <c r="D27" s="278" t="str">
        <f>IF(NOT(ISBLANK('СПИСОК КЛАССА'!D27)),IF($A27=1,'СПИСОК КЛАССА'!D27, "УЧЕНИК НЕ ВЫПОЛНЯЛ РАБОТУ"),"")</f>
        <v/>
      </c>
      <c r="E27" s="133">
        <v>1</v>
      </c>
      <c r="F27" s="102">
        <v>3</v>
      </c>
      <c r="G27" s="102">
        <v>3</v>
      </c>
      <c r="H27" s="102">
        <v>-8</v>
      </c>
      <c r="I27" s="102">
        <v>4132</v>
      </c>
      <c r="J27" s="102">
        <v>205</v>
      </c>
      <c r="K27" s="102">
        <v>4</v>
      </c>
      <c r="L27" s="102">
        <v>4</v>
      </c>
      <c r="M27" s="102">
        <v>1</v>
      </c>
      <c r="N27" s="102">
        <v>4</v>
      </c>
      <c r="O27" s="102" t="s">
        <v>314</v>
      </c>
      <c r="P27" s="102">
        <v>3412</v>
      </c>
      <c r="Q27" s="102">
        <v>5</v>
      </c>
      <c r="R27" s="102">
        <v>72</v>
      </c>
      <c r="S27" s="102">
        <v>0</v>
      </c>
      <c r="T27" s="102">
        <v>2</v>
      </c>
      <c r="U27" s="102">
        <v>-2</v>
      </c>
      <c r="V27" s="143">
        <v>1500</v>
      </c>
      <c r="W27" s="133">
        <v>0.4</v>
      </c>
      <c r="X27" s="102">
        <v>0.4</v>
      </c>
      <c r="Y27" s="102">
        <v>0.4</v>
      </c>
      <c r="Z27" s="102">
        <v>0.4</v>
      </c>
      <c r="AA27" s="289">
        <v>0.4</v>
      </c>
      <c r="AB27" s="133">
        <v>0.5</v>
      </c>
      <c r="AC27" s="102">
        <v>0.5</v>
      </c>
      <c r="AD27" s="102">
        <v>0.5</v>
      </c>
      <c r="AE27" s="289">
        <v>0.5</v>
      </c>
      <c r="AF27" s="133">
        <v>0.5</v>
      </c>
      <c r="AG27" s="102">
        <v>0.5</v>
      </c>
      <c r="AH27" s="102">
        <v>0.5</v>
      </c>
      <c r="AI27" s="289">
        <v>0.5</v>
      </c>
      <c r="AJ27" s="6"/>
      <c r="AK27" s="6"/>
      <c r="AL27" s="6"/>
      <c r="AM27" s="6"/>
      <c r="AN27" s="6"/>
      <c r="AO27" s="6"/>
      <c r="AP27" s="6"/>
      <c r="AQ27" s="6"/>
      <c r="AR27" s="6">
        <f t="shared" si="0"/>
        <v>0</v>
      </c>
      <c r="AS27" s="6"/>
      <c r="AT27" s="6"/>
      <c r="AU27" s="6"/>
      <c r="AV27" s="6"/>
      <c r="AW27" s="6"/>
      <c r="AX27" s="6"/>
    </row>
    <row r="28" spans="1:50" ht="12.75" customHeight="1" x14ac:dyDescent="0.2">
      <c r="A28" s="287">
        <f>IF('СПИСОК КЛАССА'!J28&gt;0,1,0)</f>
        <v>1</v>
      </c>
      <c r="B28" s="284">
        <v>9</v>
      </c>
      <c r="C28" s="277">
        <f>IF(NOT(ISBLANK('СПИСОК КЛАССА'!C28)),'СПИСОК КЛАССА'!C28,"")</f>
        <v>9</v>
      </c>
      <c r="D28" s="278" t="str">
        <f>IF(NOT(ISBLANK('СПИСОК КЛАССА'!D28)),IF($A28=1,'СПИСОК КЛАССА'!D28, "УЧЕНИК НЕ ВЫПОЛНЯЛ РАБОТУ"),"")</f>
        <v/>
      </c>
      <c r="E28" s="133">
        <v>1</v>
      </c>
      <c r="F28" s="102">
        <v>3</v>
      </c>
      <c r="G28" s="102">
        <v>3</v>
      </c>
      <c r="H28" s="102">
        <v>-8</v>
      </c>
      <c r="I28" s="102">
        <v>3142</v>
      </c>
      <c r="J28" s="102">
        <v>205</v>
      </c>
      <c r="K28" s="102">
        <v>4</v>
      </c>
      <c r="L28" s="102">
        <v>4</v>
      </c>
      <c r="M28" s="102">
        <v>0</v>
      </c>
      <c r="N28" s="102">
        <v>4</v>
      </c>
      <c r="O28" s="102" t="s">
        <v>314</v>
      </c>
      <c r="P28" s="102">
        <v>3412</v>
      </c>
      <c r="Q28" s="102">
        <v>5</v>
      </c>
      <c r="R28" s="102">
        <v>36</v>
      </c>
      <c r="S28" s="102">
        <v>0</v>
      </c>
      <c r="T28" s="102">
        <v>2</v>
      </c>
      <c r="U28" s="102">
        <v>-2</v>
      </c>
      <c r="V28" s="143">
        <v>1500</v>
      </c>
      <c r="W28" s="133">
        <v>0.4</v>
      </c>
      <c r="X28" s="102">
        <v>0</v>
      </c>
      <c r="Y28" s="102">
        <v>0</v>
      </c>
      <c r="Z28" s="102">
        <v>0</v>
      </c>
      <c r="AA28" s="289">
        <v>0</v>
      </c>
      <c r="AB28" s="133">
        <v>0.5</v>
      </c>
      <c r="AC28" s="102">
        <v>0.5</v>
      </c>
      <c r="AD28" s="102">
        <v>0.5</v>
      </c>
      <c r="AE28" s="289">
        <v>0.5</v>
      </c>
      <c r="AF28" s="133">
        <v>0.5</v>
      </c>
      <c r="AG28" s="102">
        <v>0.5</v>
      </c>
      <c r="AH28" s="102">
        <v>0.5</v>
      </c>
      <c r="AI28" s="289">
        <v>0</v>
      </c>
      <c r="AJ28" s="6"/>
      <c r="AK28" s="6"/>
      <c r="AL28" s="6"/>
      <c r="AM28" s="6"/>
      <c r="AN28" s="6"/>
      <c r="AO28" s="6"/>
      <c r="AP28" s="6"/>
      <c r="AQ28" s="6"/>
      <c r="AR28" s="6">
        <f t="shared" si="0"/>
        <v>0</v>
      </c>
      <c r="AS28" s="6"/>
      <c r="AT28" s="6"/>
      <c r="AU28" s="6"/>
      <c r="AV28" s="6"/>
      <c r="AW28" s="6"/>
      <c r="AX28" s="6"/>
    </row>
    <row r="29" spans="1:50" ht="12.75" customHeight="1" x14ac:dyDescent="0.2">
      <c r="A29" s="287">
        <f>IF('СПИСОК КЛАССА'!J29&gt;0,1,0)</f>
        <v>1</v>
      </c>
      <c r="B29" s="284">
        <v>10</v>
      </c>
      <c r="C29" s="277">
        <f>IF(NOT(ISBLANK('СПИСОК КЛАССА'!C29)),'СПИСОК КЛАССА'!C29,"")</f>
        <v>10</v>
      </c>
      <c r="D29" s="278" t="str">
        <f>IF(NOT(ISBLANK('СПИСОК КЛАССА'!D29)),IF($A29=1,'СПИСОК КЛАССА'!D29, "УЧЕНИК НЕ ВЫПОЛНЯЛ РАБОТУ"),"")</f>
        <v/>
      </c>
      <c r="E29" s="133">
        <v>1</v>
      </c>
      <c r="F29" s="102">
        <v>3</v>
      </c>
      <c r="G29" s="102">
        <v>3</v>
      </c>
      <c r="H29" s="102">
        <v>3</v>
      </c>
      <c r="I29" s="102">
        <v>2314</v>
      </c>
      <c r="J29" s="102">
        <v>273</v>
      </c>
      <c r="K29" s="102">
        <v>2</v>
      </c>
      <c r="L29" s="102">
        <v>1</v>
      </c>
      <c r="M29" s="102">
        <v>0</v>
      </c>
      <c r="N29" s="102">
        <v>2</v>
      </c>
      <c r="O29" s="102" t="s">
        <v>315</v>
      </c>
      <c r="P29" s="102">
        <v>4132</v>
      </c>
      <c r="Q29" s="102">
        <v>9</v>
      </c>
      <c r="R29" s="102">
        <v>74</v>
      </c>
      <c r="S29" s="102">
        <v>0</v>
      </c>
      <c r="T29" s="102">
        <v>4</v>
      </c>
      <c r="U29" s="102">
        <v>14</v>
      </c>
      <c r="V29" s="143">
        <v>2500</v>
      </c>
      <c r="W29" s="133">
        <v>0.4</v>
      </c>
      <c r="X29" s="102">
        <v>0.4</v>
      </c>
      <c r="Y29" s="102">
        <v>0.4</v>
      </c>
      <c r="Z29" s="102">
        <v>0</v>
      </c>
      <c r="AA29" s="289">
        <v>0</v>
      </c>
      <c r="AB29" s="133" t="s">
        <v>132</v>
      </c>
      <c r="AC29" s="102" t="s">
        <v>132</v>
      </c>
      <c r="AD29" s="102" t="s">
        <v>132</v>
      </c>
      <c r="AE29" s="289" t="s">
        <v>132</v>
      </c>
      <c r="AF29" s="133" t="s">
        <v>132</v>
      </c>
      <c r="AG29" s="102" t="s">
        <v>132</v>
      </c>
      <c r="AH29" s="102" t="s">
        <v>132</v>
      </c>
      <c r="AI29" s="289" t="s">
        <v>132</v>
      </c>
      <c r="AJ29" s="6"/>
      <c r="AK29" s="6"/>
      <c r="AL29" s="6"/>
      <c r="AM29" s="6"/>
      <c r="AN29" s="6"/>
      <c r="AO29" s="6"/>
      <c r="AP29" s="6"/>
      <c r="AQ29" s="6"/>
      <c r="AR29" s="6">
        <f t="shared" si="0"/>
        <v>0</v>
      </c>
      <c r="AS29" s="6"/>
      <c r="AT29" s="6"/>
      <c r="AU29" s="6"/>
      <c r="AV29" s="6"/>
      <c r="AW29" s="6"/>
      <c r="AX29" s="6"/>
    </row>
    <row r="30" spans="1:50" ht="12.75" customHeight="1" x14ac:dyDescent="0.2">
      <c r="A30" s="287">
        <f>IF('СПИСОК КЛАССА'!J30&gt;0,1,0)</f>
        <v>1</v>
      </c>
      <c r="B30" s="284">
        <v>11</v>
      </c>
      <c r="C30" s="277">
        <f>IF(NOT(ISBLANK('СПИСОК КЛАССА'!C30)),'СПИСОК КЛАССА'!C30,"")</f>
        <v>11</v>
      </c>
      <c r="D30" s="278" t="str">
        <f>IF(NOT(ISBLANK('СПИСОК КЛАССА'!D30)),IF($A30=1,'СПИСОК КЛАССА'!D30, "УЧЕНИК НЕ ВЫПОЛНЯЛ РАБОТУ"),"")</f>
        <v/>
      </c>
      <c r="E30" s="133">
        <v>1</v>
      </c>
      <c r="F30" s="102">
        <v>3</v>
      </c>
      <c r="G30" s="102">
        <v>3</v>
      </c>
      <c r="H30" s="102">
        <v>-8</v>
      </c>
      <c r="I30" s="102">
        <v>3142</v>
      </c>
      <c r="J30" s="102">
        <v>205</v>
      </c>
      <c r="K30" s="102">
        <v>4</v>
      </c>
      <c r="L30" s="102">
        <v>4</v>
      </c>
      <c r="M30" s="102">
        <v>1</v>
      </c>
      <c r="N30" s="102">
        <v>4</v>
      </c>
      <c r="O30" s="102" t="s">
        <v>314</v>
      </c>
      <c r="P30" s="102">
        <v>3412</v>
      </c>
      <c r="Q30" s="102">
        <v>5</v>
      </c>
      <c r="R30" s="102">
        <v>72</v>
      </c>
      <c r="S30" s="102">
        <v>0</v>
      </c>
      <c r="T30" s="102">
        <v>2</v>
      </c>
      <c r="U30" s="102">
        <v>-2</v>
      </c>
      <c r="V30" s="143">
        <v>1500</v>
      </c>
      <c r="W30" s="133">
        <v>0.4</v>
      </c>
      <c r="X30" s="102">
        <v>0.4</v>
      </c>
      <c r="Y30" s="102">
        <v>0.4</v>
      </c>
      <c r="Z30" s="102">
        <v>0</v>
      </c>
      <c r="AA30" s="289">
        <v>0</v>
      </c>
      <c r="AB30" s="133" t="s">
        <v>132</v>
      </c>
      <c r="AC30" s="102" t="s">
        <v>132</v>
      </c>
      <c r="AD30" s="102" t="s">
        <v>132</v>
      </c>
      <c r="AE30" s="289" t="s">
        <v>132</v>
      </c>
      <c r="AF30" s="133" t="s">
        <v>132</v>
      </c>
      <c r="AG30" s="102" t="s">
        <v>132</v>
      </c>
      <c r="AH30" s="102" t="s">
        <v>132</v>
      </c>
      <c r="AI30" s="289" t="s">
        <v>132</v>
      </c>
      <c r="AJ30" s="6"/>
      <c r="AK30" s="6"/>
      <c r="AL30" s="6"/>
      <c r="AM30" s="6"/>
      <c r="AN30" s="6"/>
      <c r="AO30" s="6"/>
      <c r="AP30" s="6"/>
      <c r="AQ30" s="6"/>
      <c r="AR30" s="6">
        <f t="shared" si="0"/>
        <v>0</v>
      </c>
      <c r="AS30" s="6"/>
      <c r="AT30" s="6"/>
      <c r="AU30" s="6"/>
      <c r="AV30" s="6"/>
      <c r="AW30" s="6"/>
      <c r="AX30" s="6"/>
    </row>
    <row r="31" spans="1:50" ht="12.75" customHeight="1" x14ac:dyDescent="0.2">
      <c r="A31" s="287">
        <f>IF('СПИСОК КЛАССА'!J31&gt;0,1,0)</f>
        <v>1</v>
      </c>
      <c r="B31" s="284">
        <v>12</v>
      </c>
      <c r="C31" s="277">
        <f>IF(NOT(ISBLANK('СПИСОК КЛАССА'!C31)),'СПИСОК КЛАССА'!C31,"")</f>
        <v>12</v>
      </c>
      <c r="D31" s="278" t="str">
        <f>IF(NOT(ISBLANK('СПИСОК КЛАССА'!D31)),IF($A31=1,'СПИСОК КЛАССА'!D31, "УЧЕНИК НЕ ВЫПОЛНЯЛ РАБОТУ"),"")</f>
        <v/>
      </c>
      <c r="E31" s="133">
        <v>1</v>
      </c>
      <c r="F31" s="102">
        <v>1</v>
      </c>
      <c r="G31" s="102">
        <v>2</v>
      </c>
      <c r="H31" s="102">
        <v>-6</v>
      </c>
      <c r="I31" s="102">
        <v>1234</v>
      </c>
      <c r="J31" s="102">
        <v>240</v>
      </c>
      <c r="K31" s="102">
        <v>3</v>
      </c>
      <c r="L31" s="102">
        <v>2</v>
      </c>
      <c r="M31" s="102">
        <v>0</v>
      </c>
      <c r="N31" s="102">
        <v>1</v>
      </c>
      <c r="O31" s="102" t="s">
        <v>311</v>
      </c>
      <c r="P31" s="102">
        <v>3152</v>
      </c>
      <c r="Q31" s="102">
        <v>3.7</v>
      </c>
      <c r="R31" s="102" t="s">
        <v>132</v>
      </c>
      <c r="S31" s="102">
        <v>0</v>
      </c>
      <c r="T31" s="102">
        <v>3</v>
      </c>
      <c r="U31" s="102">
        <v>25</v>
      </c>
      <c r="V31" s="143">
        <v>1500</v>
      </c>
      <c r="W31" s="133">
        <v>0.4</v>
      </c>
      <c r="X31" s="102">
        <v>0.4</v>
      </c>
      <c r="Y31" s="102">
        <v>0</v>
      </c>
      <c r="Z31" s="102">
        <v>0</v>
      </c>
      <c r="AA31" s="289">
        <v>0</v>
      </c>
      <c r="AB31" s="133">
        <v>0.5</v>
      </c>
      <c r="AC31" s="102">
        <v>0.5</v>
      </c>
      <c r="AD31" s="102">
        <v>0.5</v>
      </c>
      <c r="AE31" s="289">
        <v>0.5</v>
      </c>
      <c r="AF31" s="133">
        <v>0.5</v>
      </c>
      <c r="AG31" s="102">
        <v>0.5</v>
      </c>
      <c r="AH31" s="102">
        <v>0.5</v>
      </c>
      <c r="AI31" s="289">
        <v>0.5</v>
      </c>
      <c r="AJ31" s="6"/>
      <c r="AK31" s="6"/>
      <c r="AL31" s="6"/>
      <c r="AM31" s="6"/>
      <c r="AN31" s="6"/>
      <c r="AO31" s="6"/>
      <c r="AP31" s="6"/>
      <c r="AQ31" s="6"/>
      <c r="AR31" s="6">
        <f t="shared" si="0"/>
        <v>0</v>
      </c>
      <c r="AS31" s="6"/>
      <c r="AT31" s="6"/>
      <c r="AU31" s="6"/>
      <c r="AV31" s="6"/>
      <c r="AW31" s="6"/>
      <c r="AX31" s="6"/>
    </row>
    <row r="32" spans="1:50" ht="12.75" customHeight="1" x14ac:dyDescent="0.2">
      <c r="A32" s="287">
        <f>IF('СПИСОК КЛАССА'!J32&gt;0,1,0)</f>
        <v>1</v>
      </c>
      <c r="B32" s="284">
        <v>13</v>
      </c>
      <c r="C32" s="277">
        <f>IF(NOT(ISBLANK('СПИСОК КЛАССА'!C32)),'СПИСОК КЛАССА'!C32,"")</f>
        <v>13</v>
      </c>
      <c r="D32" s="278" t="str">
        <f>IF(NOT(ISBLANK('СПИСОК КЛАССА'!D32)),IF($A32=1,'СПИСОК КЛАССА'!D32, "УЧЕНИК НЕ ВЫПОЛНЯЛ РАБОТУ"),"")</f>
        <v/>
      </c>
      <c r="E32" s="133">
        <v>1</v>
      </c>
      <c r="F32" s="102">
        <v>4</v>
      </c>
      <c r="G32" s="102">
        <v>3</v>
      </c>
      <c r="H32" s="102">
        <v>3</v>
      </c>
      <c r="I32" s="102">
        <v>2314</v>
      </c>
      <c r="J32" s="102">
        <v>273</v>
      </c>
      <c r="K32" s="102">
        <v>2</v>
      </c>
      <c r="L32" s="102">
        <v>1</v>
      </c>
      <c r="M32" s="102">
        <v>1</v>
      </c>
      <c r="N32" s="102">
        <v>2</v>
      </c>
      <c r="O32" s="102" t="s">
        <v>132</v>
      </c>
      <c r="P32" s="102">
        <v>4153</v>
      </c>
      <c r="Q32" s="102" t="s">
        <v>132</v>
      </c>
      <c r="R32" s="102">
        <v>37</v>
      </c>
      <c r="S32" s="102">
        <v>0</v>
      </c>
      <c r="T32" s="102">
        <v>3</v>
      </c>
      <c r="U32" s="102">
        <v>14</v>
      </c>
      <c r="V32" s="143">
        <v>2500</v>
      </c>
      <c r="W32" s="133" t="s">
        <v>132</v>
      </c>
      <c r="X32" s="102" t="s">
        <v>132</v>
      </c>
      <c r="Y32" s="102" t="s">
        <v>132</v>
      </c>
      <c r="Z32" s="102" t="s">
        <v>132</v>
      </c>
      <c r="AA32" s="289" t="s">
        <v>132</v>
      </c>
      <c r="AB32" s="133" t="s">
        <v>132</v>
      </c>
      <c r="AC32" s="102" t="s">
        <v>132</v>
      </c>
      <c r="AD32" s="102" t="s">
        <v>132</v>
      </c>
      <c r="AE32" s="289" t="s">
        <v>132</v>
      </c>
      <c r="AF32" s="133" t="s">
        <v>132</v>
      </c>
      <c r="AG32" s="102" t="s">
        <v>132</v>
      </c>
      <c r="AH32" s="102" t="s">
        <v>132</v>
      </c>
      <c r="AI32" s="289" t="s">
        <v>132</v>
      </c>
      <c r="AJ32" s="6"/>
      <c r="AK32" s="6"/>
      <c r="AL32" s="6"/>
      <c r="AM32" s="6"/>
      <c r="AN32" s="6"/>
      <c r="AO32" s="6"/>
      <c r="AP32" s="6"/>
      <c r="AQ32" s="6"/>
      <c r="AR32" s="6">
        <f t="shared" si="0"/>
        <v>0</v>
      </c>
      <c r="AS32" s="6"/>
      <c r="AT32" s="6"/>
      <c r="AU32" s="6"/>
      <c r="AV32" s="6"/>
      <c r="AW32" s="6"/>
      <c r="AX32" s="6"/>
    </row>
    <row r="33" spans="1:50" ht="12.75" customHeight="1" x14ac:dyDescent="0.2">
      <c r="A33" s="287">
        <f>IF('СПИСОК КЛАССА'!J33&gt;0,1,0)</f>
        <v>1</v>
      </c>
      <c r="B33" s="284">
        <v>14</v>
      </c>
      <c r="C33" s="277">
        <f>IF(NOT(ISBLANK('СПИСОК КЛАССА'!C33)),'СПИСОК КЛАССА'!C33,"")</f>
        <v>14</v>
      </c>
      <c r="D33" s="278" t="str">
        <f>IF(NOT(ISBLANK('СПИСОК КЛАССА'!D33)),IF($A33=1,'СПИСОК КЛАССА'!D33, "УЧЕНИК НЕ ВЫПОЛНЯЛ РАБОТУ"),"")</f>
        <v/>
      </c>
      <c r="E33" s="133">
        <v>1</v>
      </c>
      <c r="F33" s="102">
        <v>2</v>
      </c>
      <c r="G33" s="102">
        <v>3</v>
      </c>
      <c r="H33" s="102">
        <v>-6</v>
      </c>
      <c r="I33" s="102">
        <v>1234</v>
      </c>
      <c r="J33" s="102">
        <v>240</v>
      </c>
      <c r="K33" s="102">
        <v>3</v>
      </c>
      <c r="L33" s="102">
        <v>2</v>
      </c>
      <c r="M33" s="102">
        <v>0</v>
      </c>
      <c r="N33" s="102">
        <v>2</v>
      </c>
      <c r="O33" s="102" t="s">
        <v>311</v>
      </c>
      <c r="P33" s="102">
        <v>3125</v>
      </c>
      <c r="Q33" s="102">
        <v>2</v>
      </c>
      <c r="R33" s="102" t="s">
        <v>132</v>
      </c>
      <c r="S33" s="102">
        <v>0</v>
      </c>
      <c r="T33" s="102">
        <v>2</v>
      </c>
      <c r="U33" s="102">
        <v>25</v>
      </c>
      <c r="V33" s="143">
        <v>1500</v>
      </c>
      <c r="W33" s="133" t="s">
        <v>132</v>
      </c>
      <c r="X33" s="102" t="s">
        <v>132</v>
      </c>
      <c r="Y33" s="102" t="s">
        <v>132</v>
      </c>
      <c r="Z33" s="102" t="s">
        <v>132</v>
      </c>
      <c r="AA33" s="289" t="s">
        <v>132</v>
      </c>
      <c r="AB33" s="133" t="s">
        <v>132</v>
      </c>
      <c r="AC33" s="102" t="s">
        <v>132</v>
      </c>
      <c r="AD33" s="102" t="s">
        <v>132</v>
      </c>
      <c r="AE33" s="289" t="s">
        <v>132</v>
      </c>
      <c r="AF33" s="133" t="s">
        <v>132</v>
      </c>
      <c r="AG33" s="102" t="s">
        <v>132</v>
      </c>
      <c r="AH33" s="102" t="s">
        <v>132</v>
      </c>
      <c r="AI33" s="289" t="s">
        <v>132</v>
      </c>
      <c r="AJ33" s="6"/>
      <c r="AK33" s="6"/>
      <c r="AL33" s="6"/>
      <c r="AM33" s="6"/>
      <c r="AN33" s="6"/>
      <c r="AO33" s="6"/>
      <c r="AP33" s="6"/>
      <c r="AQ33" s="6"/>
      <c r="AR33" s="6">
        <f t="shared" si="0"/>
        <v>0</v>
      </c>
      <c r="AS33" s="6"/>
      <c r="AT33" s="6"/>
      <c r="AU33" s="6"/>
      <c r="AV33" s="6"/>
      <c r="AW33" s="6"/>
      <c r="AX33" s="6"/>
    </row>
    <row r="34" spans="1:50" ht="12.75" customHeight="1" x14ac:dyDescent="0.2">
      <c r="A34" s="287">
        <f>IF('СПИСОК КЛАССА'!J34&gt;0,1,0)</f>
        <v>1</v>
      </c>
      <c r="B34" s="284">
        <v>15</v>
      </c>
      <c r="C34" s="277">
        <f>IF(NOT(ISBLANK('СПИСОК КЛАССА'!C34)),'СПИСОК КЛАССА'!C34,"")</f>
        <v>15</v>
      </c>
      <c r="D34" s="278" t="str">
        <f>IF(NOT(ISBLANK('СПИСОК КЛАССА'!D34)),IF($A34=1,'СПИСОК КЛАССА'!D34, "УЧЕНИК НЕ ВЫПОЛНЯЛ РАБОТУ"),"")</f>
        <v/>
      </c>
      <c r="E34" s="133">
        <v>1</v>
      </c>
      <c r="F34" s="102">
        <v>4</v>
      </c>
      <c r="G34" s="102">
        <v>3</v>
      </c>
      <c r="H34" s="102">
        <v>3</v>
      </c>
      <c r="I34" s="102">
        <v>2314</v>
      </c>
      <c r="J34" s="102">
        <v>273</v>
      </c>
      <c r="K34" s="102">
        <v>2</v>
      </c>
      <c r="L34" s="102">
        <v>1</v>
      </c>
      <c r="M34" s="102">
        <v>0</v>
      </c>
      <c r="N34" s="102">
        <v>2</v>
      </c>
      <c r="O34" s="102" t="s">
        <v>315</v>
      </c>
      <c r="P34" s="102">
        <v>4132</v>
      </c>
      <c r="Q34" s="102">
        <v>9</v>
      </c>
      <c r="R34" s="102">
        <v>74</v>
      </c>
      <c r="S34" s="102">
        <v>0</v>
      </c>
      <c r="T34" s="102">
        <v>4</v>
      </c>
      <c r="U34" s="102">
        <v>14</v>
      </c>
      <c r="V34" s="143">
        <v>2500</v>
      </c>
      <c r="W34" s="133">
        <v>0.4</v>
      </c>
      <c r="X34" s="102">
        <v>0.4</v>
      </c>
      <c r="Y34" s="102">
        <v>0</v>
      </c>
      <c r="Z34" s="102">
        <v>0</v>
      </c>
      <c r="AA34" s="289">
        <v>0</v>
      </c>
      <c r="AB34" s="133">
        <v>0.5</v>
      </c>
      <c r="AC34" s="102">
        <v>0.5</v>
      </c>
      <c r="AD34" s="102">
        <v>0.5</v>
      </c>
      <c r="AE34" s="289">
        <v>0.5</v>
      </c>
      <c r="AF34" s="133">
        <v>0.5</v>
      </c>
      <c r="AG34" s="102">
        <v>0.5</v>
      </c>
      <c r="AH34" s="102">
        <v>0.5</v>
      </c>
      <c r="AI34" s="289">
        <v>0.5</v>
      </c>
      <c r="AJ34" s="6"/>
      <c r="AK34" s="6"/>
      <c r="AL34" s="6"/>
      <c r="AM34" s="6"/>
      <c r="AN34" s="6"/>
      <c r="AO34" s="6"/>
      <c r="AP34" s="6"/>
      <c r="AQ34" s="6"/>
      <c r="AR34" s="6">
        <f t="shared" si="0"/>
        <v>0</v>
      </c>
      <c r="AS34" s="6"/>
      <c r="AT34" s="6"/>
      <c r="AU34" s="6"/>
      <c r="AV34" s="6"/>
      <c r="AW34" s="6"/>
      <c r="AX34" s="6"/>
    </row>
    <row r="35" spans="1:50" ht="12.75" customHeight="1" x14ac:dyDescent="0.2">
      <c r="A35" s="287">
        <f>IF('СПИСОК КЛАССА'!J35&gt;0,1,0)</f>
        <v>1</v>
      </c>
      <c r="B35" s="284">
        <v>16</v>
      </c>
      <c r="C35" s="277">
        <f>IF(NOT(ISBLANK('СПИСОК КЛАССА'!C35)),'СПИСОК КЛАССА'!C35,"")</f>
        <v>16</v>
      </c>
      <c r="D35" s="278" t="str">
        <f>IF(NOT(ISBLANK('СПИСОК КЛАССА'!D35)),IF($A35=1,'СПИСОК КЛАССА'!D35, "УЧЕНИК НЕ ВЫПОЛНЯЛ РАБОТУ"),"")</f>
        <v/>
      </c>
      <c r="E35" s="133">
        <v>1</v>
      </c>
      <c r="F35" s="102">
        <v>3</v>
      </c>
      <c r="G35" s="102">
        <v>3</v>
      </c>
      <c r="H35" s="102">
        <v>-8</v>
      </c>
      <c r="I35" s="102">
        <v>4132</v>
      </c>
      <c r="J35" s="102">
        <v>205</v>
      </c>
      <c r="K35" s="102">
        <v>4</v>
      </c>
      <c r="L35" s="102">
        <v>4</v>
      </c>
      <c r="M35" s="102">
        <v>1</v>
      </c>
      <c r="N35" s="102">
        <v>4</v>
      </c>
      <c r="O35" s="102" t="s">
        <v>314</v>
      </c>
      <c r="P35" s="102">
        <v>3412</v>
      </c>
      <c r="Q35" s="102">
        <v>5</v>
      </c>
      <c r="R35" s="102">
        <v>72</v>
      </c>
      <c r="S35" s="102">
        <v>0</v>
      </c>
      <c r="T35" s="102">
        <v>2</v>
      </c>
      <c r="U35" s="102">
        <v>-2</v>
      </c>
      <c r="V35" s="143">
        <v>1500</v>
      </c>
      <c r="W35" s="133">
        <v>0.4</v>
      </c>
      <c r="X35" s="102">
        <v>0.4</v>
      </c>
      <c r="Y35" s="102">
        <v>0.4</v>
      </c>
      <c r="Z35" s="102">
        <v>0</v>
      </c>
      <c r="AA35" s="289">
        <v>0</v>
      </c>
      <c r="AB35" s="133">
        <v>0.5</v>
      </c>
      <c r="AC35" s="102">
        <v>0.5</v>
      </c>
      <c r="AD35" s="102">
        <v>0</v>
      </c>
      <c r="AE35" s="289">
        <v>0</v>
      </c>
      <c r="AF35" s="133" t="s">
        <v>132</v>
      </c>
      <c r="AG35" s="102" t="s">
        <v>132</v>
      </c>
      <c r="AH35" s="102" t="s">
        <v>132</v>
      </c>
      <c r="AI35" s="289" t="s">
        <v>132</v>
      </c>
      <c r="AJ35" s="6"/>
      <c r="AK35" s="6"/>
      <c r="AL35" s="6"/>
      <c r="AM35" s="6"/>
      <c r="AN35" s="6"/>
      <c r="AO35" s="6"/>
      <c r="AP35" s="6"/>
      <c r="AQ35" s="6"/>
      <c r="AR35" s="6">
        <f t="shared" si="0"/>
        <v>0</v>
      </c>
      <c r="AS35" s="6"/>
      <c r="AT35" s="6"/>
      <c r="AU35" s="6"/>
      <c r="AV35" s="6"/>
      <c r="AW35" s="6"/>
      <c r="AX35" s="6"/>
    </row>
    <row r="36" spans="1:50" ht="12.75" customHeight="1" x14ac:dyDescent="0.2">
      <c r="A36" s="287">
        <f>IF('СПИСОК КЛАССА'!J36&gt;0,1,0)</f>
        <v>1</v>
      </c>
      <c r="B36" s="284">
        <v>17</v>
      </c>
      <c r="C36" s="277">
        <f>IF(NOT(ISBLANK('СПИСОК КЛАССА'!C36)),'СПИСОК КЛАССА'!C36,"")</f>
        <v>17</v>
      </c>
      <c r="D36" s="278" t="str">
        <f>IF(NOT(ISBLANK('СПИСОК КЛАССА'!D36)),IF($A36=1,'СПИСОК КЛАССА'!D36, "УЧЕНИК НЕ ВЫПОЛНЯЛ РАБОТУ"),"")</f>
        <v/>
      </c>
      <c r="E36" s="133" t="s">
        <v>132</v>
      </c>
      <c r="F36" s="102">
        <v>3</v>
      </c>
      <c r="G36" s="102">
        <v>3</v>
      </c>
      <c r="H36" s="102">
        <v>-8</v>
      </c>
      <c r="I36" s="102">
        <v>3142</v>
      </c>
      <c r="J36" s="102">
        <v>205</v>
      </c>
      <c r="K36" s="102">
        <v>4</v>
      </c>
      <c r="L36" s="102">
        <v>4</v>
      </c>
      <c r="M36" s="102">
        <v>0</v>
      </c>
      <c r="N36" s="102">
        <v>4</v>
      </c>
      <c r="O36" s="102" t="s">
        <v>314</v>
      </c>
      <c r="P36" s="102">
        <v>3412</v>
      </c>
      <c r="Q36" s="102">
        <v>5</v>
      </c>
      <c r="R36" s="102">
        <v>72</v>
      </c>
      <c r="S36" s="102">
        <v>0</v>
      </c>
      <c r="T36" s="102">
        <v>2</v>
      </c>
      <c r="U36" s="102">
        <v>-2</v>
      </c>
      <c r="V36" s="143">
        <v>1500</v>
      </c>
      <c r="W36" s="133" t="s">
        <v>132</v>
      </c>
      <c r="X36" s="102" t="s">
        <v>132</v>
      </c>
      <c r="Y36" s="102" t="s">
        <v>132</v>
      </c>
      <c r="Z36" s="102" t="s">
        <v>132</v>
      </c>
      <c r="AA36" s="289" t="s">
        <v>132</v>
      </c>
      <c r="AB36" s="133" t="s">
        <v>132</v>
      </c>
      <c r="AC36" s="102" t="s">
        <v>132</v>
      </c>
      <c r="AD36" s="102" t="s">
        <v>132</v>
      </c>
      <c r="AE36" s="289" t="s">
        <v>132</v>
      </c>
      <c r="AF36" s="133" t="s">
        <v>132</v>
      </c>
      <c r="AG36" s="102" t="s">
        <v>132</v>
      </c>
      <c r="AH36" s="102" t="s">
        <v>132</v>
      </c>
      <c r="AI36" s="289" t="s">
        <v>132</v>
      </c>
      <c r="AJ36" s="6"/>
      <c r="AK36" s="6"/>
      <c r="AL36" s="6"/>
      <c r="AM36" s="6"/>
      <c r="AN36" s="6"/>
      <c r="AO36" s="6"/>
      <c r="AP36" s="6"/>
      <c r="AQ36" s="6"/>
      <c r="AR36" s="6">
        <f t="shared" si="0"/>
        <v>0</v>
      </c>
      <c r="AS36" s="6"/>
      <c r="AT36" s="6"/>
      <c r="AU36" s="6"/>
      <c r="AV36" s="6"/>
      <c r="AW36" s="6"/>
      <c r="AX36" s="6"/>
    </row>
    <row r="37" spans="1:50" ht="12.75" customHeight="1" x14ac:dyDescent="0.2">
      <c r="A37" s="287">
        <f>IF('СПИСОК КЛАССА'!J37&gt;0,1,0)</f>
        <v>1</v>
      </c>
      <c r="B37" s="284">
        <v>18</v>
      </c>
      <c r="C37" s="277">
        <f>IF(NOT(ISBLANK('СПИСОК КЛАССА'!C37)),'СПИСОК КЛАССА'!C37,"")</f>
        <v>18</v>
      </c>
      <c r="D37" s="278" t="str">
        <f>IF(NOT(ISBLANK('СПИСОК КЛАССА'!D37)),IF($A37=1,'СПИСОК КЛАССА'!D37, "УЧЕНИК НЕ ВЫПОЛНЯЛ РАБОТУ"),"")</f>
        <v/>
      </c>
      <c r="E37" s="133">
        <v>1</v>
      </c>
      <c r="F37" s="102">
        <v>3</v>
      </c>
      <c r="G37" s="102">
        <v>4</v>
      </c>
      <c r="H37" s="102">
        <v>-8</v>
      </c>
      <c r="I37" s="102">
        <v>2143</v>
      </c>
      <c r="J37" s="102">
        <v>200</v>
      </c>
      <c r="K37" s="102">
        <v>4</v>
      </c>
      <c r="L37" s="102" t="s">
        <v>132</v>
      </c>
      <c r="M37" s="102">
        <v>0</v>
      </c>
      <c r="N37" s="102">
        <v>4</v>
      </c>
      <c r="O37" s="102" t="s">
        <v>314</v>
      </c>
      <c r="P37" s="102">
        <v>3412</v>
      </c>
      <c r="Q37" s="102" t="s">
        <v>132</v>
      </c>
      <c r="R37" s="102" t="s">
        <v>132</v>
      </c>
      <c r="S37" s="102" t="s">
        <v>132</v>
      </c>
      <c r="T37" s="102">
        <v>1</v>
      </c>
      <c r="U37" s="102">
        <v>-2</v>
      </c>
      <c r="V37" s="143">
        <v>1427</v>
      </c>
      <c r="W37" s="133" t="s">
        <v>132</v>
      </c>
      <c r="X37" s="102" t="s">
        <v>132</v>
      </c>
      <c r="Y37" s="102" t="s">
        <v>132</v>
      </c>
      <c r="Z37" s="102" t="s">
        <v>132</v>
      </c>
      <c r="AA37" s="289" t="s">
        <v>132</v>
      </c>
      <c r="AB37" s="133" t="s">
        <v>132</v>
      </c>
      <c r="AC37" s="102" t="s">
        <v>132</v>
      </c>
      <c r="AD37" s="102" t="s">
        <v>132</v>
      </c>
      <c r="AE37" s="289" t="s">
        <v>132</v>
      </c>
      <c r="AF37" s="133" t="s">
        <v>132</v>
      </c>
      <c r="AG37" s="102" t="s">
        <v>132</v>
      </c>
      <c r="AH37" s="102" t="s">
        <v>132</v>
      </c>
      <c r="AI37" s="289" t="s">
        <v>132</v>
      </c>
      <c r="AJ37" s="6"/>
      <c r="AK37" s="6"/>
      <c r="AL37" s="6"/>
      <c r="AM37" s="6"/>
      <c r="AN37" s="6"/>
      <c r="AO37" s="6"/>
      <c r="AP37" s="6"/>
      <c r="AQ37" s="6"/>
      <c r="AR37" s="6">
        <f t="shared" si="0"/>
        <v>0</v>
      </c>
      <c r="AS37" s="6"/>
      <c r="AT37" s="6"/>
      <c r="AU37" s="6"/>
      <c r="AV37" s="6"/>
      <c r="AW37" s="6"/>
      <c r="AX37" s="6"/>
    </row>
    <row r="38" spans="1:50" ht="12.75" customHeight="1" x14ac:dyDescent="0.2">
      <c r="A38" s="287">
        <f>IF('СПИСОК КЛАССА'!J38&gt;0,1,0)</f>
        <v>1</v>
      </c>
      <c r="B38" s="284">
        <v>19</v>
      </c>
      <c r="C38" s="277">
        <f>IF(NOT(ISBLANK('СПИСОК КЛАССА'!C38)),'СПИСОК КЛАССА'!C38,"")</f>
        <v>19</v>
      </c>
      <c r="D38" s="278" t="str">
        <f>IF(NOT(ISBLANK('СПИСОК КЛАССА'!D38)),IF($A38=1,'СПИСОК КЛАССА'!D38, "УЧЕНИК НЕ ВЫПОЛНЯЛ РАБОТУ"),"")</f>
        <v/>
      </c>
      <c r="E38" s="133">
        <v>1</v>
      </c>
      <c r="F38" s="102">
        <v>4</v>
      </c>
      <c r="G38" s="102">
        <v>3</v>
      </c>
      <c r="H38" s="102">
        <v>3</v>
      </c>
      <c r="I38" s="102">
        <v>1324</v>
      </c>
      <c r="J38" s="102">
        <v>203</v>
      </c>
      <c r="K38" s="102">
        <v>2</v>
      </c>
      <c r="L38" s="102">
        <v>1</v>
      </c>
      <c r="M38" s="102">
        <v>0</v>
      </c>
      <c r="N38" s="102">
        <v>2</v>
      </c>
      <c r="O38" s="102" t="s">
        <v>86</v>
      </c>
      <c r="P38" s="102">
        <v>4312</v>
      </c>
      <c r="Q38" s="102" t="s">
        <v>132</v>
      </c>
      <c r="R38" s="102" t="s">
        <v>132</v>
      </c>
      <c r="S38" s="102">
        <v>0</v>
      </c>
      <c r="T38" s="102">
        <v>4</v>
      </c>
      <c r="U38" s="102">
        <v>14</v>
      </c>
      <c r="V38" s="143">
        <v>2500</v>
      </c>
      <c r="W38" s="133">
        <v>0.4</v>
      </c>
      <c r="X38" s="102">
        <v>0</v>
      </c>
      <c r="Y38" s="102">
        <v>0</v>
      </c>
      <c r="Z38" s="102">
        <v>0</v>
      </c>
      <c r="AA38" s="289">
        <v>0</v>
      </c>
      <c r="AB38" s="133">
        <v>0.5</v>
      </c>
      <c r="AC38" s="102">
        <v>0.5</v>
      </c>
      <c r="AD38" s="102">
        <v>0.5</v>
      </c>
      <c r="AE38" s="289">
        <v>0.5</v>
      </c>
      <c r="AF38" s="133" t="s">
        <v>132</v>
      </c>
      <c r="AG38" s="102" t="s">
        <v>132</v>
      </c>
      <c r="AH38" s="102" t="s">
        <v>132</v>
      </c>
      <c r="AI38" s="289" t="s">
        <v>132</v>
      </c>
      <c r="AJ38" s="6"/>
      <c r="AK38" s="6"/>
      <c r="AL38" s="6"/>
      <c r="AM38" s="6"/>
      <c r="AN38" s="6"/>
      <c r="AO38" s="6"/>
      <c r="AP38" s="6"/>
      <c r="AQ38" s="6"/>
      <c r="AR38" s="6">
        <f t="shared" si="0"/>
        <v>0</v>
      </c>
      <c r="AS38" s="6"/>
      <c r="AT38" s="6"/>
      <c r="AU38" s="6"/>
      <c r="AV38" s="6"/>
      <c r="AW38" s="6"/>
      <c r="AX38" s="6"/>
    </row>
    <row r="39" spans="1:50" ht="12.75" customHeight="1" x14ac:dyDescent="0.2">
      <c r="A39" s="287">
        <f>IF('СПИСОК КЛАССА'!J39&gt;0,1,0)</f>
        <v>1</v>
      </c>
      <c r="B39" s="284">
        <v>20</v>
      </c>
      <c r="C39" s="277">
        <f>IF(NOT(ISBLANK('СПИСОК КЛАССА'!C39)),'СПИСОК КЛАССА'!C39,"")</f>
        <v>20</v>
      </c>
      <c r="D39" s="278" t="str">
        <f>IF(NOT(ISBLANK('СПИСОК КЛАССА'!D39)),IF($A39=1,'СПИСОК КЛАССА'!D39, "УЧЕНИК НЕ ВЫПОЛНЯЛ РАБОТУ"),"")</f>
        <v/>
      </c>
      <c r="E39" s="133">
        <v>1</v>
      </c>
      <c r="F39" s="102">
        <v>4</v>
      </c>
      <c r="G39" s="102">
        <v>3</v>
      </c>
      <c r="H39" s="102">
        <v>3</v>
      </c>
      <c r="I39" s="102">
        <v>1324</v>
      </c>
      <c r="J39" s="102">
        <v>203</v>
      </c>
      <c r="K39" s="102">
        <v>2</v>
      </c>
      <c r="L39" s="102">
        <v>1</v>
      </c>
      <c r="M39" s="102">
        <v>0</v>
      </c>
      <c r="N39" s="102">
        <v>2</v>
      </c>
      <c r="O39" s="102" t="s">
        <v>86</v>
      </c>
      <c r="P39" s="102">
        <v>4132</v>
      </c>
      <c r="Q39" s="102">
        <v>9</v>
      </c>
      <c r="R39" s="102">
        <v>74</v>
      </c>
      <c r="S39" s="102">
        <v>0</v>
      </c>
      <c r="T39" s="102">
        <v>4</v>
      </c>
      <c r="U39" s="102">
        <v>14</v>
      </c>
      <c r="V39" s="143">
        <v>2500</v>
      </c>
      <c r="W39" s="133">
        <v>0.4</v>
      </c>
      <c r="X39" s="102">
        <v>0.4</v>
      </c>
      <c r="Y39" s="102">
        <v>0.4</v>
      </c>
      <c r="Z39" s="102">
        <v>0.4</v>
      </c>
      <c r="AA39" s="289">
        <v>0.4</v>
      </c>
      <c r="AB39" s="133" t="s">
        <v>132</v>
      </c>
      <c r="AC39" s="102" t="s">
        <v>132</v>
      </c>
      <c r="AD39" s="102" t="s">
        <v>132</v>
      </c>
      <c r="AE39" s="289" t="s">
        <v>132</v>
      </c>
      <c r="AF39" s="133" t="s">
        <v>132</v>
      </c>
      <c r="AG39" s="102" t="s">
        <v>132</v>
      </c>
      <c r="AH39" s="102" t="s">
        <v>132</v>
      </c>
      <c r="AI39" s="289" t="s">
        <v>132</v>
      </c>
      <c r="AJ39" s="6"/>
      <c r="AK39" s="6"/>
      <c r="AL39" s="6"/>
      <c r="AM39" s="6"/>
      <c r="AN39" s="6"/>
      <c r="AO39" s="6"/>
      <c r="AP39" s="6"/>
      <c r="AQ39" s="6"/>
      <c r="AR39" s="6">
        <f t="shared" si="0"/>
        <v>0</v>
      </c>
      <c r="AS39" s="6"/>
      <c r="AT39" s="6"/>
      <c r="AU39" s="6"/>
      <c r="AV39" s="6"/>
      <c r="AW39" s="6"/>
      <c r="AX39" s="6"/>
    </row>
    <row r="40" spans="1:50" ht="12.75" customHeight="1" x14ac:dyDescent="0.2">
      <c r="A40" s="287">
        <f>IF('СПИСОК КЛАССА'!J40&gt;0,1,0)</f>
        <v>1</v>
      </c>
      <c r="B40" s="284">
        <v>21</v>
      </c>
      <c r="C40" s="277">
        <f>IF(NOT(ISBLANK('СПИСОК КЛАССА'!C40)),'СПИСОК КЛАССА'!C40,"")</f>
        <v>21</v>
      </c>
      <c r="D40" s="278" t="str">
        <f>IF(NOT(ISBLANK('СПИСОК КЛАССА'!D40)),IF($A40=1,'СПИСОК КЛАССА'!D40, "УЧЕНИК НЕ ВЫПОЛНЯЛ РАБОТУ"),"")</f>
        <v/>
      </c>
      <c r="E40" s="133">
        <v>1</v>
      </c>
      <c r="F40" s="102">
        <v>4</v>
      </c>
      <c r="G40" s="102">
        <v>3</v>
      </c>
      <c r="H40" s="102">
        <v>3</v>
      </c>
      <c r="I40" s="102">
        <v>1324</v>
      </c>
      <c r="J40" s="102">
        <v>203</v>
      </c>
      <c r="K40" s="102">
        <v>2</v>
      </c>
      <c r="L40" s="102">
        <v>1</v>
      </c>
      <c r="M40" s="102">
        <v>0</v>
      </c>
      <c r="N40" s="102">
        <v>2</v>
      </c>
      <c r="O40" s="102" t="s">
        <v>86</v>
      </c>
      <c r="P40" s="102">
        <v>4132</v>
      </c>
      <c r="Q40" s="102">
        <v>9</v>
      </c>
      <c r="R40" s="102">
        <v>74</v>
      </c>
      <c r="S40" s="102">
        <v>0</v>
      </c>
      <c r="T40" s="102">
        <v>4</v>
      </c>
      <c r="U40" s="102">
        <v>14</v>
      </c>
      <c r="V40" s="143">
        <v>2500</v>
      </c>
      <c r="W40" s="133">
        <v>0.4</v>
      </c>
      <c r="X40" s="102">
        <v>0</v>
      </c>
      <c r="Y40" s="102">
        <v>0</v>
      </c>
      <c r="Z40" s="102">
        <v>0</v>
      </c>
      <c r="AA40" s="289">
        <v>0</v>
      </c>
      <c r="AB40" s="133">
        <v>0.5</v>
      </c>
      <c r="AC40" s="102">
        <v>0.5</v>
      </c>
      <c r="AD40" s="102">
        <v>0.5</v>
      </c>
      <c r="AE40" s="289">
        <v>0.5</v>
      </c>
      <c r="AF40" s="133" t="s">
        <v>132</v>
      </c>
      <c r="AG40" s="102" t="s">
        <v>132</v>
      </c>
      <c r="AH40" s="102" t="s">
        <v>132</v>
      </c>
      <c r="AI40" s="289" t="s">
        <v>132</v>
      </c>
      <c r="AJ40" s="6"/>
      <c r="AK40" s="6"/>
      <c r="AL40" s="6"/>
      <c r="AM40" s="6"/>
      <c r="AN40" s="6"/>
      <c r="AO40" s="6"/>
      <c r="AP40" s="6"/>
      <c r="AQ40" s="6"/>
      <c r="AR40" s="6">
        <f t="shared" si="0"/>
        <v>0</v>
      </c>
      <c r="AS40" s="6"/>
      <c r="AT40" s="6"/>
      <c r="AU40" s="6"/>
      <c r="AV40" s="6"/>
      <c r="AW40" s="6"/>
      <c r="AX40" s="6"/>
    </row>
    <row r="41" spans="1:50" ht="12.75" customHeight="1" x14ac:dyDescent="0.2">
      <c r="A41" s="287">
        <f>IF('СПИСОК КЛАССА'!J41&gt;0,1,0)</f>
        <v>1</v>
      </c>
      <c r="B41" s="284">
        <v>22</v>
      </c>
      <c r="C41" s="277">
        <f>IF(NOT(ISBLANK('СПИСОК КЛАССА'!C41)),'СПИСОК КЛАССА'!C41,"")</f>
        <v>22</v>
      </c>
      <c r="D41" s="278" t="str">
        <f>IF(NOT(ISBLANK('СПИСОК КЛАССА'!D41)),IF($A41=1,'СПИСОК КЛАССА'!D41, "УЧЕНИК НЕ ВЫПОЛНЯЛ РАБОТУ"),"")</f>
        <v/>
      </c>
      <c r="E41" s="133">
        <v>1</v>
      </c>
      <c r="F41" s="102">
        <v>1</v>
      </c>
      <c r="G41" s="102">
        <v>3</v>
      </c>
      <c r="H41" s="102">
        <v>-6</v>
      </c>
      <c r="I41" s="102">
        <v>1234</v>
      </c>
      <c r="J41" s="102">
        <v>240</v>
      </c>
      <c r="K41" s="102">
        <v>3</v>
      </c>
      <c r="L41" s="102">
        <v>2</v>
      </c>
      <c r="M41" s="102">
        <v>0</v>
      </c>
      <c r="N41" s="102">
        <v>1</v>
      </c>
      <c r="O41" s="102" t="s">
        <v>311</v>
      </c>
      <c r="P41" s="102">
        <v>3152</v>
      </c>
      <c r="Q41" s="102">
        <v>3.7</v>
      </c>
      <c r="R41" s="102" t="s">
        <v>132</v>
      </c>
      <c r="S41" s="102">
        <v>1</v>
      </c>
      <c r="T41" s="102" t="s">
        <v>132</v>
      </c>
      <c r="U41" s="102">
        <v>25</v>
      </c>
      <c r="V41" s="143">
        <v>1500</v>
      </c>
      <c r="W41" s="133">
        <v>0.4</v>
      </c>
      <c r="X41" s="102">
        <v>0.4</v>
      </c>
      <c r="Y41" s="102">
        <v>0</v>
      </c>
      <c r="Z41" s="102">
        <v>0</v>
      </c>
      <c r="AA41" s="289">
        <v>0</v>
      </c>
      <c r="AB41" s="133">
        <v>0.5</v>
      </c>
      <c r="AC41" s="102">
        <v>0.5</v>
      </c>
      <c r="AD41" s="102">
        <v>0.5</v>
      </c>
      <c r="AE41" s="289">
        <v>0.5</v>
      </c>
      <c r="AF41" s="133">
        <v>0.5</v>
      </c>
      <c r="AG41" s="102">
        <v>0.5</v>
      </c>
      <c r="AH41" s="102">
        <v>0.5</v>
      </c>
      <c r="AI41" s="289">
        <v>0.5</v>
      </c>
      <c r="AJ41" s="6"/>
      <c r="AK41" s="6"/>
      <c r="AL41" s="6"/>
      <c r="AM41" s="6"/>
      <c r="AN41" s="6"/>
      <c r="AO41" s="6"/>
      <c r="AP41" s="6"/>
      <c r="AQ41" s="6"/>
      <c r="AR41" s="6">
        <f t="shared" si="0"/>
        <v>0</v>
      </c>
      <c r="AS41" s="6"/>
      <c r="AT41" s="6"/>
      <c r="AU41" s="6"/>
      <c r="AV41" s="6"/>
      <c r="AW41" s="6"/>
      <c r="AX41" s="6"/>
    </row>
    <row r="42" spans="1:50" ht="12.75" customHeight="1" x14ac:dyDescent="0.2">
      <c r="A42" s="287">
        <f>IF('СПИСОК КЛАССА'!J42&gt;0,1,0)</f>
        <v>1</v>
      </c>
      <c r="B42" s="284">
        <v>23</v>
      </c>
      <c r="C42" s="277">
        <f>IF(NOT(ISBLANK('СПИСОК КЛАССА'!C42)),'СПИСОК КЛАССА'!C42,"")</f>
        <v>23</v>
      </c>
      <c r="D42" s="278" t="str">
        <f>IF(NOT(ISBLANK('СПИСОК КЛАССА'!D42)),IF($A42=1,'СПИСОК КЛАССА'!D42, "УЧЕНИК НЕ ВЫПОЛНЯЛ РАБОТУ"),"")</f>
        <v/>
      </c>
      <c r="E42" s="133">
        <v>0</v>
      </c>
      <c r="F42" s="102">
        <v>2</v>
      </c>
      <c r="G42" s="102">
        <v>1</v>
      </c>
      <c r="H42" s="102">
        <v>-6</v>
      </c>
      <c r="I42" s="102">
        <v>3412</v>
      </c>
      <c r="J42" s="102">
        <v>390</v>
      </c>
      <c r="K42" s="102">
        <v>1</v>
      </c>
      <c r="L42" s="102">
        <v>1</v>
      </c>
      <c r="M42" s="102">
        <v>1</v>
      </c>
      <c r="N42" s="102">
        <v>1</v>
      </c>
      <c r="O42" s="102" t="s">
        <v>310</v>
      </c>
      <c r="P42" s="102">
        <v>2351</v>
      </c>
      <c r="Q42" s="102">
        <v>2</v>
      </c>
      <c r="R42" s="102">
        <v>35</v>
      </c>
      <c r="S42" s="102">
        <v>0</v>
      </c>
      <c r="T42" s="102">
        <v>3</v>
      </c>
      <c r="U42" s="102">
        <v>11</v>
      </c>
      <c r="V42" s="143">
        <v>3000</v>
      </c>
      <c r="W42" s="133">
        <v>0.4</v>
      </c>
      <c r="X42" s="102">
        <v>0</v>
      </c>
      <c r="Y42" s="102">
        <v>0</v>
      </c>
      <c r="Z42" s="102">
        <v>0</v>
      </c>
      <c r="AA42" s="289">
        <v>0</v>
      </c>
      <c r="AB42" s="133" t="s">
        <v>132</v>
      </c>
      <c r="AC42" s="102" t="s">
        <v>132</v>
      </c>
      <c r="AD42" s="102" t="s">
        <v>132</v>
      </c>
      <c r="AE42" s="289" t="s">
        <v>132</v>
      </c>
      <c r="AF42" s="133" t="s">
        <v>132</v>
      </c>
      <c r="AG42" s="102" t="s">
        <v>132</v>
      </c>
      <c r="AH42" s="102" t="s">
        <v>132</v>
      </c>
      <c r="AI42" s="289" t="s">
        <v>132</v>
      </c>
      <c r="AJ42" s="6"/>
      <c r="AK42" s="6"/>
      <c r="AL42" s="6"/>
      <c r="AM42" s="6"/>
      <c r="AN42" s="6"/>
      <c r="AO42" s="6"/>
      <c r="AP42" s="6"/>
      <c r="AQ42" s="6"/>
      <c r="AR42" s="6">
        <f t="shared" si="0"/>
        <v>0</v>
      </c>
      <c r="AS42" s="6"/>
      <c r="AT42" s="6"/>
      <c r="AU42" s="6"/>
      <c r="AV42" s="6"/>
      <c r="AW42" s="6"/>
      <c r="AX42" s="6"/>
    </row>
    <row r="43" spans="1:50" ht="12.75" customHeight="1" x14ac:dyDescent="0.2">
      <c r="A43" s="287">
        <f>IF('СПИСОК КЛАССА'!J43&gt;0,1,0)</f>
        <v>1</v>
      </c>
      <c r="B43" s="284">
        <v>24</v>
      </c>
      <c r="C43" s="277">
        <f>IF(NOT(ISBLANK('СПИСОК КЛАССА'!C43)),'СПИСОК КЛАССА'!C43,"")</f>
        <v>24</v>
      </c>
      <c r="D43" s="278" t="str">
        <f>IF(NOT(ISBLANK('СПИСОК КЛАССА'!D43)),IF($A43=1,'СПИСОК КЛАССА'!D43, "УЧЕНИК НЕ ВЫПОЛНЯЛ РАБОТУ"),"")</f>
        <v/>
      </c>
      <c r="E43" s="133">
        <v>1</v>
      </c>
      <c r="F43" s="102">
        <v>1</v>
      </c>
      <c r="G43" s="102">
        <v>3</v>
      </c>
      <c r="H43" s="102">
        <v>-6</v>
      </c>
      <c r="I43" s="102">
        <v>1234</v>
      </c>
      <c r="J43" s="102">
        <v>240</v>
      </c>
      <c r="K43" s="102">
        <v>3</v>
      </c>
      <c r="L43" s="102">
        <v>4</v>
      </c>
      <c r="M43" s="102">
        <v>0</v>
      </c>
      <c r="N43" s="102">
        <v>1</v>
      </c>
      <c r="O43" s="102" t="s">
        <v>311</v>
      </c>
      <c r="P43" s="102">
        <v>3142</v>
      </c>
      <c r="Q43" s="102">
        <v>2</v>
      </c>
      <c r="R43" s="102">
        <v>66</v>
      </c>
      <c r="S43" s="102">
        <v>0</v>
      </c>
      <c r="T43" s="102">
        <v>3</v>
      </c>
      <c r="U43" s="102">
        <v>25</v>
      </c>
      <c r="V43" s="143">
        <v>1500</v>
      </c>
      <c r="W43" s="133" t="s">
        <v>132</v>
      </c>
      <c r="X43" s="102" t="s">
        <v>132</v>
      </c>
      <c r="Y43" s="102" t="s">
        <v>132</v>
      </c>
      <c r="Z43" s="102" t="s">
        <v>132</v>
      </c>
      <c r="AA43" s="289" t="s">
        <v>132</v>
      </c>
      <c r="AB43" s="133" t="s">
        <v>132</v>
      </c>
      <c r="AC43" s="102" t="s">
        <v>132</v>
      </c>
      <c r="AD43" s="102" t="s">
        <v>132</v>
      </c>
      <c r="AE43" s="289" t="s">
        <v>132</v>
      </c>
      <c r="AF43" s="133" t="s">
        <v>132</v>
      </c>
      <c r="AG43" s="102" t="s">
        <v>132</v>
      </c>
      <c r="AH43" s="102" t="s">
        <v>132</v>
      </c>
      <c r="AI43" s="289" t="s">
        <v>132</v>
      </c>
      <c r="AJ43" s="6"/>
      <c r="AK43" s="6"/>
      <c r="AL43" s="6"/>
      <c r="AM43" s="6"/>
      <c r="AN43" s="6"/>
      <c r="AO43" s="6"/>
      <c r="AP43" s="6"/>
      <c r="AQ43" s="6"/>
      <c r="AR43" s="6">
        <f t="shared" si="0"/>
        <v>0</v>
      </c>
      <c r="AS43" s="6"/>
      <c r="AT43" s="6"/>
      <c r="AU43" s="6"/>
      <c r="AV43" s="6"/>
      <c r="AW43" s="6"/>
      <c r="AX43" s="6"/>
    </row>
    <row r="44" spans="1:50" ht="12.75" customHeight="1" x14ac:dyDescent="0.2">
      <c r="A44" s="287">
        <f>IF('СПИСОК КЛАССА'!J44&gt;0,1,0)</f>
        <v>1</v>
      </c>
      <c r="B44" s="284">
        <v>25</v>
      </c>
      <c r="C44" s="277">
        <f>IF(NOT(ISBLANK('СПИСОК КЛАССА'!C44)),'СПИСОК КЛАССА'!C44,"")</f>
        <v>25</v>
      </c>
      <c r="D44" s="278" t="str">
        <f>IF(NOT(ISBLANK('СПИСОК КЛАССА'!D44)),IF($A44=1,'СПИСОК КЛАССА'!D44, "УЧЕНИК НЕ ВЫПОЛНЯЛ РАБОТУ"),"")</f>
        <v/>
      </c>
      <c r="E44" s="133">
        <v>1</v>
      </c>
      <c r="F44" s="102">
        <v>2</v>
      </c>
      <c r="G44" s="102">
        <v>2</v>
      </c>
      <c r="H44" s="102">
        <v>-6</v>
      </c>
      <c r="I44" s="102">
        <v>1234</v>
      </c>
      <c r="J44" s="102">
        <v>240</v>
      </c>
      <c r="K44" s="102">
        <v>3</v>
      </c>
      <c r="L44" s="102">
        <v>2</v>
      </c>
      <c r="M44" s="102">
        <v>0</v>
      </c>
      <c r="N44" s="102">
        <v>1</v>
      </c>
      <c r="O44" s="102" t="s">
        <v>311</v>
      </c>
      <c r="P44" s="102">
        <v>3142</v>
      </c>
      <c r="Q44" s="102">
        <v>2</v>
      </c>
      <c r="R44" s="102">
        <v>66</v>
      </c>
      <c r="S44" s="102">
        <v>0</v>
      </c>
      <c r="T44" s="102">
        <v>3</v>
      </c>
      <c r="U44" s="102">
        <v>25</v>
      </c>
      <c r="V44" s="143">
        <v>1500</v>
      </c>
      <c r="W44" s="133" t="s">
        <v>132</v>
      </c>
      <c r="X44" s="102" t="s">
        <v>132</v>
      </c>
      <c r="Y44" s="102" t="s">
        <v>132</v>
      </c>
      <c r="Z44" s="102" t="s">
        <v>132</v>
      </c>
      <c r="AA44" s="289" t="s">
        <v>132</v>
      </c>
      <c r="AB44" s="133" t="s">
        <v>309</v>
      </c>
      <c r="AC44" s="102">
        <v>0.5</v>
      </c>
      <c r="AD44" s="102">
        <v>0.5</v>
      </c>
      <c r="AE44" s="289">
        <v>0.5</v>
      </c>
      <c r="AF44" s="133">
        <v>0.5</v>
      </c>
      <c r="AG44" s="102">
        <v>0.5</v>
      </c>
      <c r="AH44" s="102">
        <v>0.5</v>
      </c>
      <c r="AI44" s="289">
        <v>0.5</v>
      </c>
      <c r="AJ44" s="6"/>
      <c r="AK44" s="6"/>
      <c r="AL44" s="6"/>
      <c r="AM44" s="6"/>
      <c r="AN44" s="6"/>
      <c r="AO44" s="6"/>
      <c r="AP44" s="6"/>
      <c r="AQ44" s="6"/>
      <c r="AR44" s="6">
        <f t="shared" si="0"/>
        <v>0</v>
      </c>
      <c r="AS44" s="6"/>
      <c r="AT44" s="6"/>
      <c r="AU44" s="6"/>
      <c r="AV44" s="6"/>
      <c r="AW44" s="6"/>
      <c r="AX44" s="6"/>
    </row>
    <row r="45" spans="1:50" ht="12.75" customHeight="1" x14ac:dyDescent="0.2">
      <c r="A45" s="287">
        <f>IF('СПИСОК КЛАССА'!J45&gt;0,1,0)</f>
        <v>1</v>
      </c>
      <c r="B45" s="284">
        <v>26</v>
      </c>
      <c r="C45" s="277">
        <f>IF(NOT(ISBLANK('СПИСОК КЛАССА'!C45)),'СПИСОК КЛАССА'!C45,"")</f>
        <v>26</v>
      </c>
      <c r="D45" s="278" t="str">
        <f>IF(NOT(ISBLANK('СПИСОК КЛАССА'!D45)),IF($A45=1,'СПИСОК КЛАССА'!D45, "УЧЕНИК НЕ ВЫПОЛНЯЛ РАБОТУ"),"")</f>
        <v/>
      </c>
      <c r="E45" s="133">
        <v>1</v>
      </c>
      <c r="F45" s="102">
        <v>3</v>
      </c>
      <c r="G45" s="102">
        <v>3</v>
      </c>
      <c r="H45" s="102">
        <v>-8</v>
      </c>
      <c r="I45" s="102">
        <v>3142</v>
      </c>
      <c r="J45" s="102">
        <v>205</v>
      </c>
      <c r="K45" s="102">
        <v>4</v>
      </c>
      <c r="L45" s="102">
        <v>4</v>
      </c>
      <c r="M45" s="102">
        <v>1</v>
      </c>
      <c r="N45" s="102">
        <v>4</v>
      </c>
      <c r="O45" s="102" t="s">
        <v>314</v>
      </c>
      <c r="P45" s="102">
        <v>3412</v>
      </c>
      <c r="Q45" s="102">
        <v>5</v>
      </c>
      <c r="R45" s="102">
        <v>35</v>
      </c>
      <c r="S45" s="102">
        <v>0</v>
      </c>
      <c r="T45" s="102">
        <v>2</v>
      </c>
      <c r="U45" s="102">
        <v>-2</v>
      </c>
      <c r="V45" s="143">
        <v>1500</v>
      </c>
      <c r="W45" s="133">
        <v>0.4</v>
      </c>
      <c r="X45" s="102">
        <v>0.4</v>
      </c>
      <c r="Y45" s="102">
        <v>0.4</v>
      </c>
      <c r="Z45" s="102">
        <v>0.4</v>
      </c>
      <c r="AA45" s="289">
        <v>0.4</v>
      </c>
      <c r="AB45" s="133">
        <v>0.5</v>
      </c>
      <c r="AC45" s="102">
        <v>0.5</v>
      </c>
      <c r="AD45" s="102">
        <v>0.5</v>
      </c>
      <c r="AE45" s="289">
        <v>0.5</v>
      </c>
      <c r="AF45" s="133">
        <v>0.5</v>
      </c>
      <c r="AG45" s="102">
        <v>0.5</v>
      </c>
      <c r="AH45" s="102">
        <v>0.5</v>
      </c>
      <c r="AI45" s="289">
        <v>0.5</v>
      </c>
      <c r="AJ45" s="6"/>
      <c r="AK45" s="6"/>
      <c r="AL45" s="6"/>
      <c r="AM45" s="6"/>
      <c r="AN45" s="6"/>
      <c r="AO45" s="6"/>
      <c r="AP45" s="6"/>
      <c r="AQ45" s="6"/>
      <c r="AR45" s="6">
        <f t="shared" si="0"/>
        <v>0</v>
      </c>
      <c r="AS45" s="6"/>
      <c r="AT45" s="6"/>
      <c r="AU45" s="6"/>
      <c r="AV45" s="6"/>
      <c r="AW45" s="6"/>
      <c r="AX45" s="6"/>
    </row>
    <row r="46" spans="1:50" ht="12.75" customHeight="1" x14ac:dyDescent="0.2">
      <c r="A46" s="287">
        <f>IF('СПИСОК КЛАССА'!J46&gt;0,1,0)</f>
        <v>1</v>
      </c>
      <c r="B46" s="284">
        <v>27</v>
      </c>
      <c r="C46" s="277">
        <f>IF(NOT(ISBLANK('СПИСОК КЛАССА'!C46)),'СПИСОК КЛАССА'!C46,"")</f>
        <v>27</v>
      </c>
      <c r="D46" s="278" t="str">
        <f>IF(NOT(ISBLANK('СПИСОК КЛАССА'!D46)),IF($A46=1,'СПИСОК КЛАССА'!D46, "УЧЕНИК НЕ ВЫПОЛНЯЛ РАБОТУ"),"")</f>
        <v/>
      </c>
      <c r="E46" s="133">
        <v>1</v>
      </c>
      <c r="F46" s="102">
        <v>4</v>
      </c>
      <c r="G46" s="102">
        <v>3</v>
      </c>
      <c r="H46" s="102">
        <v>3</v>
      </c>
      <c r="I46" s="102">
        <v>2314</v>
      </c>
      <c r="J46" s="102">
        <v>273</v>
      </c>
      <c r="K46" s="102">
        <v>2</v>
      </c>
      <c r="L46" s="102" t="s">
        <v>132</v>
      </c>
      <c r="M46" s="102">
        <v>1</v>
      </c>
      <c r="N46" s="102">
        <v>2</v>
      </c>
      <c r="O46" s="102" t="s">
        <v>316</v>
      </c>
      <c r="P46" s="102">
        <v>4132</v>
      </c>
      <c r="Q46" s="102">
        <v>9</v>
      </c>
      <c r="R46" s="102">
        <v>74</v>
      </c>
      <c r="S46" s="102">
        <v>0</v>
      </c>
      <c r="T46" s="102">
        <v>4</v>
      </c>
      <c r="U46" s="102">
        <v>14</v>
      </c>
      <c r="V46" s="143">
        <v>2500</v>
      </c>
      <c r="W46" s="133">
        <v>0.4</v>
      </c>
      <c r="X46" s="102">
        <v>0.4</v>
      </c>
      <c r="Y46" s="102">
        <v>0.4</v>
      </c>
      <c r="Z46" s="102">
        <v>0</v>
      </c>
      <c r="AA46" s="289">
        <v>0</v>
      </c>
      <c r="AB46" s="133">
        <v>0.5</v>
      </c>
      <c r="AC46" s="102">
        <v>0.5</v>
      </c>
      <c r="AD46" s="102">
        <v>0.5</v>
      </c>
      <c r="AE46" s="289">
        <v>0.5</v>
      </c>
      <c r="AF46" s="133" t="s">
        <v>132</v>
      </c>
      <c r="AG46" s="102" t="s">
        <v>132</v>
      </c>
      <c r="AH46" s="102" t="s">
        <v>132</v>
      </c>
      <c r="AI46" s="289" t="s">
        <v>132</v>
      </c>
      <c r="AJ46" s="6"/>
      <c r="AK46" s="6"/>
      <c r="AL46" s="6"/>
      <c r="AM46" s="6"/>
      <c r="AN46" s="6"/>
      <c r="AO46" s="6"/>
      <c r="AP46" s="6"/>
      <c r="AQ46" s="6"/>
      <c r="AR46" s="6">
        <f t="shared" si="0"/>
        <v>0</v>
      </c>
      <c r="AS46" s="6"/>
      <c r="AT46" s="6"/>
      <c r="AU46" s="6"/>
      <c r="AV46" s="6"/>
      <c r="AW46" s="6"/>
      <c r="AX46" s="6"/>
    </row>
    <row r="47" spans="1:50" ht="12.75" customHeight="1" x14ac:dyDescent="0.2">
      <c r="A47" s="287">
        <f>IF('СПИСОК КЛАССА'!J47&gt;0,1,0)</f>
        <v>1</v>
      </c>
      <c r="B47" s="284">
        <v>28</v>
      </c>
      <c r="C47" s="277">
        <f>IF(NOT(ISBLANK('СПИСОК КЛАССА'!C47)),'СПИСОК КЛАССА'!C47,"")</f>
        <v>28</v>
      </c>
      <c r="D47" s="278" t="str">
        <f>IF(NOT(ISBLANK('СПИСОК КЛАССА'!D47)),IF($A47=1,'СПИСОК КЛАССА'!D47, "УЧЕНИК НЕ ВЫПОЛНЯЛ РАБОТУ"),"")</f>
        <v/>
      </c>
      <c r="E47" s="133">
        <v>1</v>
      </c>
      <c r="F47" s="102">
        <v>2</v>
      </c>
      <c r="G47" s="102">
        <v>1</v>
      </c>
      <c r="H47" s="102">
        <v>-6</v>
      </c>
      <c r="I47" s="102">
        <v>3412</v>
      </c>
      <c r="J47" s="102">
        <v>390</v>
      </c>
      <c r="K47" s="102">
        <v>2</v>
      </c>
      <c r="L47" s="102">
        <v>3</v>
      </c>
      <c r="M47" s="102">
        <v>1</v>
      </c>
      <c r="N47" s="102">
        <v>3</v>
      </c>
      <c r="O47" s="102" t="s">
        <v>314</v>
      </c>
      <c r="P47" s="102">
        <v>2351</v>
      </c>
      <c r="Q47" s="102">
        <v>2</v>
      </c>
      <c r="R47" s="102">
        <v>35</v>
      </c>
      <c r="S47" s="102">
        <v>0</v>
      </c>
      <c r="T47" s="102">
        <v>2</v>
      </c>
      <c r="U47" s="102">
        <v>11</v>
      </c>
      <c r="V47" s="143">
        <v>3000</v>
      </c>
      <c r="W47" s="133">
        <v>0.4</v>
      </c>
      <c r="X47" s="102">
        <v>0.4</v>
      </c>
      <c r="Y47" s="102">
        <v>0</v>
      </c>
      <c r="Z47" s="102">
        <v>0</v>
      </c>
      <c r="AA47" s="289">
        <v>0</v>
      </c>
      <c r="AB47" s="133">
        <v>0.5</v>
      </c>
      <c r="AC47" s="102">
        <v>0.5</v>
      </c>
      <c r="AD47" s="102">
        <v>0.5</v>
      </c>
      <c r="AE47" s="289">
        <v>0.5</v>
      </c>
      <c r="AF47" s="133" t="s">
        <v>132</v>
      </c>
      <c r="AG47" s="102" t="s">
        <v>132</v>
      </c>
      <c r="AH47" s="102" t="s">
        <v>132</v>
      </c>
      <c r="AI47" s="289" t="s">
        <v>132</v>
      </c>
      <c r="AJ47" s="6"/>
      <c r="AK47" s="6"/>
      <c r="AL47" s="6"/>
      <c r="AM47" s="6"/>
      <c r="AN47" s="6"/>
      <c r="AO47" s="6"/>
      <c r="AP47" s="6"/>
      <c r="AQ47" s="6"/>
      <c r="AR47" s="6">
        <f t="shared" si="0"/>
        <v>0</v>
      </c>
      <c r="AS47" s="6"/>
      <c r="AT47" s="6"/>
      <c r="AU47" s="6"/>
      <c r="AV47" s="6"/>
      <c r="AW47" s="6"/>
      <c r="AX47" s="6"/>
    </row>
    <row r="48" spans="1:50" ht="12.75" customHeight="1" x14ac:dyDescent="0.2">
      <c r="A48" s="287">
        <f>IF('СПИСОК КЛАССА'!J48&gt;0,1,0)</f>
        <v>1</v>
      </c>
      <c r="B48" s="284">
        <v>29</v>
      </c>
      <c r="C48" s="277">
        <f>IF(NOT(ISBLANK('СПИСОК КЛАССА'!C48)),'СПИСОК КЛАССА'!C48,"")</f>
        <v>29</v>
      </c>
      <c r="D48" s="278" t="str">
        <f>IF(NOT(ISBLANK('СПИСОК КЛАССА'!D48)),IF($A48=1,'СПИСОК КЛАССА'!D48, "УЧЕНИК НЕ ВЫПОЛНЯЛ РАБОТУ"),"")</f>
        <v/>
      </c>
      <c r="E48" s="133">
        <v>1</v>
      </c>
      <c r="F48" s="102">
        <v>3</v>
      </c>
      <c r="G48" s="102">
        <v>3</v>
      </c>
      <c r="H48" s="102">
        <v>-8</v>
      </c>
      <c r="I48" s="102">
        <v>3142</v>
      </c>
      <c r="J48" s="102">
        <v>205</v>
      </c>
      <c r="K48" s="102">
        <v>4</v>
      </c>
      <c r="L48" s="102">
        <v>4</v>
      </c>
      <c r="M48" s="102">
        <v>1</v>
      </c>
      <c r="N48" s="102">
        <v>4</v>
      </c>
      <c r="O48" s="102" t="s">
        <v>314</v>
      </c>
      <c r="P48" s="102">
        <v>3412</v>
      </c>
      <c r="Q48" s="102">
        <v>5</v>
      </c>
      <c r="R48" s="102">
        <v>72</v>
      </c>
      <c r="S48" s="102">
        <v>0</v>
      </c>
      <c r="T48" s="102">
        <v>2</v>
      </c>
      <c r="U48" s="102">
        <v>-2</v>
      </c>
      <c r="V48" s="143">
        <v>1500</v>
      </c>
      <c r="W48" s="133">
        <v>0.4</v>
      </c>
      <c r="X48" s="102">
        <v>0</v>
      </c>
      <c r="Y48" s="102">
        <v>0</v>
      </c>
      <c r="Z48" s="102">
        <v>0</v>
      </c>
      <c r="AA48" s="289">
        <v>0</v>
      </c>
      <c r="AB48" s="133" t="s">
        <v>132</v>
      </c>
      <c r="AC48" s="102" t="s">
        <v>132</v>
      </c>
      <c r="AD48" s="102" t="s">
        <v>132</v>
      </c>
      <c r="AE48" s="289" t="s">
        <v>132</v>
      </c>
      <c r="AF48" s="133" t="s">
        <v>132</v>
      </c>
      <c r="AG48" s="102" t="s">
        <v>132</v>
      </c>
      <c r="AH48" s="102" t="s">
        <v>132</v>
      </c>
      <c r="AI48" s="289" t="s">
        <v>132</v>
      </c>
      <c r="AJ48" s="6"/>
      <c r="AK48" s="6"/>
      <c r="AL48" s="6"/>
      <c r="AM48" s="6"/>
      <c r="AN48" s="6"/>
      <c r="AO48" s="6"/>
      <c r="AP48" s="6"/>
      <c r="AQ48" s="6"/>
      <c r="AR48" s="6">
        <f t="shared" si="0"/>
        <v>0</v>
      </c>
      <c r="AS48" s="6"/>
      <c r="AT48" s="6"/>
      <c r="AU48" s="6"/>
      <c r="AV48" s="6"/>
      <c r="AW48" s="6"/>
      <c r="AX48" s="6"/>
    </row>
    <row r="49" spans="1:73" ht="12.75" customHeight="1" x14ac:dyDescent="0.2">
      <c r="A49" s="287">
        <f>IF('СПИСОК КЛАССА'!J49&gt;0,1,0)</f>
        <v>1</v>
      </c>
      <c r="B49" s="284">
        <v>30</v>
      </c>
      <c r="C49" s="277">
        <f>IF(NOT(ISBLANK('СПИСОК КЛАССА'!C49)),'СПИСОК КЛАССА'!C49,"")</f>
        <v>30</v>
      </c>
      <c r="D49" s="278" t="str">
        <f>IF(NOT(ISBLANK('СПИСОК КЛАССА'!D49)),IF($A49=1,'СПИСОК КЛАССА'!D49, "УЧЕНИК НЕ ВЫПОЛНЯЛ РАБОТУ"),"")</f>
        <v/>
      </c>
      <c r="E49" s="133">
        <v>0</v>
      </c>
      <c r="F49" s="102">
        <v>1</v>
      </c>
      <c r="G49" s="102">
        <v>3</v>
      </c>
      <c r="H49" s="102">
        <v>-6</v>
      </c>
      <c r="I49" s="102">
        <v>1234</v>
      </c>
      <c r="J49" s="102">
        <v>240</v>
      </c>
      <c r="K49" s="102">
        <v>3</v>
      </c>
      <c r="L49" s="102">
        <v>2</v>
      </c>
      <c r="M49" s="102">
        <v>0</v>
      </c>
      <c r="N49" s="102">
        <v>1</v>
      </c>
      <c r="O49" s="102" t="s">
        <v>311</v>
      </c>
      <c r="P49" s="102" t="s">
        <v>132</v>
      </c>
      <c r="Q49" s="102">
        <v>2</v>
      </c>
      <c r="R49" s="102">
        <v>66</v>
      </c>
      <c r="S49" s="102">
        <v>0</v>
      </c>
      <c r="T49" s="102">
        <v>3</v>
      </c>
      <c r="U49" s="102">
        <v>25</v>
      </c>
      <c r="V49" s="143">
        <v>1500</v>
      </c>
      <c r="W49" s="133" t="s">
        <v>132</v>
      </c>
      <c r="X49" s="102" t="s">
        <v>132</v>
      </c>
      <c r="Y49" s="102" t="s">
        <v>132</v>
      </c>
      <c r="Z49" s="102" t="s">
        <v>132</v>
      </c>
      <c r="AA49" s="289" t="s">
        <v>132</v>
      </c>
      <c r="AB49" s="133" t="s">
        <v>132</v>
      </c>
      <c r="AC49" s="102" t="s">
        <v>132</v>
      </c>
      <c r="AD49" s="102" t="s">
        <v>132</v>
      </c>
      <c r="AE49" s="289" t="s">
        <v>132</v>
      </c>
      <c r="AF49" s="133" t="s">
        <v>132</v>
      </c>
      <c r="AG49" s="102" t="s">
        <v>132</v>
      </c>
      <c r="AH49" s="102" t="s">
        <v>132</v>
      </c>
      <c r="AI49" s="289" t="s">
        <v>132</v>
      </c>
      <c r="AJ49" s="6"/>
      <c r="AK49" s="6"/>
      <c r="AL49" s="6"/>
      <c r="AM49" s="6"/>
      <c r="AN49" s="6"/>
      <c r="AO49" s="6"/>
      <c r="AP49" s="6"/>
      <c r="AQ49" s="6"/>
      <c r="AR49" s="6">
        <f t="shared" si="0"/>
        <v>0</v>
      </c>
      <c r="AS49" s="6"/>
      <c r="AT49" s="6"/>
      <c r="AU49" s="6"/>
      <c r="AV49" s="6"/>
      <c r="AW49" s="6"/>
      <c r="AX49" s="6"/>
    </row>
    <row r="50" spans="1:73" ht="12.75" customHeight="1" x14ac:dyDescent="0.2">
      <c r="A50" s="287">
        <f>IF('СПИСОК КЛАССА'!J50&gt;0,1,0)</f>
        <v>1</v>
      </c>
      <c r="B50" s="284">
        <v>31</v>
      </c>
      <c r="C50" s="277">
        <f>IF(NOT(ISBLANK('СПИСОК КЛАССА'!C50)),'СПИСОК КЛАССА'!C50,"")</f>
        <v>31</v>
      </c>
      <c r="D50" s="278" t="str">
        <f>IF(NOT(ISBLANK('СПИСОК КЛАССА'!D50)),IF($A50=1,'СПИСОК КЛАССА'!D50, "УЧЕНИК НЕ ВЫПОЛНЯЛ РАБОТУ"),"")</f>
        <v/>
      </c>
      <c r="E50" s="133">
        <v>0</v>
      </c>
      <c r="F50" s="102">
        <v>2</v>
      </c>
      <c r="G50" s="102">
        <v>1</v>
      </c>
      <c r="H50" s="102">
        <v>-6</v>
      </c>
      <c r="I50" s="102">
        <v>3412</v>
      </c>
      <c r="J50" s="102">
        <v>390</v>
      </c>
      <c r="K50" s="102">
        <v>1</v>
      </c>
      <c r="L50" s="102">
        <v>3</v>
      </c>
      <c r="M50" s="102">
        <v>1</v>
      </c>
      <c r="N50" s="102">
        <v>3</v>
      </c>
      <c r="O50" s="102" t="s">
        <v>312</v>
      </c>
      <c r="P50" s="102">
        <v>2351</v>
      </c>
      <c r="Q50" s="102">
        <v>2</v>
      </c>
      <c r="R50" s="102">
        <v>35</v>
      </c>
      <c r="S50" s="102">
        <v>0</v>
      </c>
      <c r="T50" s="102">
        <v>2</v>
      </c>
      <c r="U50" s="102">
        <v>11</v>
      </c>
      <c r="V50" s="143">
        <v>3000</v>
      </c>
      <c r="W50" s="133">
        <v>0.4</v>
      </c>
      <c r="X50" s="102">
        <v>0.4</v>
      </c>
      <c r="Y50" s="102">
        <v>0.4</v>
      </c>
      <c r="Z50" s="102">
        <v>0.4</v>
      </c>
      <c r="AA50" s="289">
        <v>0.4</v>
      </c>
      <c r="AB50" s="133">
        <v>0.5</v>
      </c>
      <c r="AC50" s="102">
        <v>0.5</v>
      </c>
      <c r="AD50" s="102">
        <v>0.5</v>
      </c>
      <c r="AE50" s="289">
        <v>0.5</v>
      </c>
      <c r="AF50" s="133">
        <v>0.5</v>
      </c>
      <c r="AG50" s="102">
        <v>0.5</v>
      </c>
      <c r="AH50" s="102">
        <v>0.5</v>
      </c>
      <c r="AI50" s="289">
        <v>0.5</v>
      </c>
      <c r="AJ50" s="6"/>
      <c r="AK50" s="6"/>
      <c r="AL50" s="6"/>
      <c r="AM50" s="6"/>
      <c r="AN50" s="6"/>
      <c r="AO50" s="6"/>
      <c r="AP50" s="6"/>
      <c r="AQ50" s="6"/>
      <c r="AR50" s="6">
        <f t="shared" si="0"/>
        <v>0</v>
      </c>
      <c r="AS50" s="6"/>
      <c r="AT50" s="6"/>
      <c r="AU50" s="6"/>
      <c r="AV50" s="6"/>
      <c r="AW50" s="6"/>
      <c r="AX50" s="6"/>
    </row>
    <row r="51" spans="1:73" ht="12.75" customHeight="1" x14ac:dyDescent="0.2">
      <c r="A51" s="287">
        <f>IF('СПИСОК КЛАССА'!J51&gt;0,1,0)</f>
        <v>1</v>
      </c>
      <c r="B51" s="284">
        <v>32</v>
      </c>
      <c r="C51" s="277">
        <f>IF(NOT(ISBLANK('СПИСОК КЛАССА'!C51)),'СПИСОК КЛАССА'!C51,"")</f>
        <v>32</v>
      </c>
      <c r="D51" s="278" t="str">
        <f>IF(NOT(ISBLANK('СПИСОК КЛАССА'!D51)),IF($A51=1,'СПИСОК КЛАССА'!D51, "УЧЕНИК НЕ ВЫПОЛНЯЛ РАБОТУ"),"")</f>
        <v/>
      </c>
      <c r="E51" s="133">
        <v>1</v>
      </c>
      <c r="F51" s="102">
        <v>3</v>
      </c>
      <c r="G51" s="102">
        <v>3</v>
      </c>
      <c r="H51" s="102">
        <v>-8</v>
      </c>
      <c r="I51" s="102">
        <v>3142</v>
      </c>
      <c r="J51" s="102">
        <v>205</v>
      </c>
      <c r="K51" s="102">
        <v>4</v>
      </c>
      <c r="L51" s="102">
        <v>4</v>
      </c>
      <c r="M51" s="102">
        <v>1</v>
      </c>
      <c r="N51" s="102">
        <v>4</v>
      </c>
      <c r="O51" s="102" t="s">
        <v>314</v>
      </c>
      <c r="P51" s="102">
        <v>3412</v>
      </c>
      <c r="Q51" s="102">
        <v>5</v>
      </c>
      <c r="R51" s="102">
        <v>72</v>
      </c>
      <c r="S51" s="102">
        <v>0</v>
      </c>
      <c r="T51" s="102">
        <v>2</v>
      </c>
      <c r="U51" s="102">
        <v>-2</v>
      </c>
      <c r="V51" s="143">
        <v>1500</v>
      </c>
      <c r="W51" s="133">
        <v>0.4</v>
      </c>
      <c r="X51" s="102">
        <v>0.4</v>
      </c>
      <c r="Y51" s="102">
        <v>0</v>
      </c>
      <c r="Z51" s="102">
        <v>0</v>
      </c>
      <c r="AA51" s="289">
        <v>0</v>
      </c>
      <c r="AB51" s="133">
        <v>0.5</v>
      </c>
      <c r="AC51" s="102">
        <v>0.5</v>
      </c>
      <c r="AD51" s="102">
        <v>0.5</v>
      </c>
      <c r="AE51" s="289">
        <v>0.5</v>
      </c>
      <c r="AF51" s="133" t="s">
        <v>132</v>
      </c>
      <c r="AG51" s="102" t="s">
        <v>132</v>
      </c>
      <c r="AH51" s="102" t="s">
        <v>132</v>
      </c>
      <c r="AI51" s="289" t="s">
        <v>132</v>
      </c>
      <c r="AJ51" s="6"/>
      <c r="AK51" s="6"/>
      <c r="AL51" s="6"/>
      <c r="AM51" s="6"/>
      <c r="AN51" s="6"/>
      <c r="AO51" s="6"/>
      <c r="AP51" s="6"/>
      <c r="AQ51" s="6"/>
      <c r="AR51" s="6">
        <f t="shared" si="0"/>
        <v>0</v>
      </c>
      <c r="AS51" s="6"/>
      <c r="AT51" s="6"/>
      <c r="AU51" s="6"/>
      <c r="AV51" s="6"/>
      <c r="AW51" s="6"/>
      <c r="AX51" s="6"/>
    </row>
    <row r="52" spans="1:73" ht="12.75" customHeight="1" x14ac:dyDescent="0.2">
      <c r="A52" s="287">
        <f>IF('СПИСОК КЛАССА'!J52&gt;0,1,0)</f>
        <v>1</v>
      </c>
      <c r="B52" s="284">
        <v>33</v>
      </c>
      <c r="C52" s="277">
        <f>IF(NOT(ISBLANK('СПИСОК КЛАССА'!C52)),'СПИСОК КЛАССА'!C52,"")</f>
        <v>33</v>
      </c>
      <c r="D52" s="278" t="str">
        <f>IF(NOT(ISBLANK('СПИСОК КЛАССА'!D52)),IF($A52=1,'СПИСОК КЛАССА'!D52, "УЧЕНИК НЕ ВЫПОЛНЯЛ РАБОТУ"),"")</f>
        <v/>
      </c>
      <c r="E52" s="133">
        <v>1</v>
      </c>
      <c r="F52" s="102">
        <v>1</v>
      </c>
      <c r="G52" s="102">
        <v>3</v>
      </c>
      <c r="H52" s="102">
        <v>-6</v>
      </c>
      <c r="I52" s="102">
        <v>1234</v>
      </c>
      <c r="J52" s="102">
        <v>240</v>
      </c>
      <c r="K52" s="102">
        <v>3</v>
      </c>
      <c r="L52" s="102">
        <v>2</v>
      </c>
      <c r="M52" s="102">
        <v>0</v>
      </c>
      <c r="N52" s="102">
        <v>1</v>
      </c>
      <c r="O52" s="102" t="s">
        <v>311</v>
      </c>
      <c r="P52" s="102">
        <v>3152</v>
      </c>
      <c r="Q52" s="102">
        <v>3.7</v>
      </c>
      <c r="R52" s="102">
        <v>11</v>
      </c>
      <c r="S52" s="102">
        <v>0</v>
      </c>
      <c r="T52" s="102">
        <v>3</v>
      </c>
      <c r="U52" s="102">
        <v>25</v>
      </c>
      <c r="V52" s="143">
        <v>1500</v>
      </c>
      <c r="W52" s="133">
        <v>0.4</v>
      </c>
      <c r="X52" s="102">
        <v>0.4</v>
      </c>
      <c r="Y52" s="102">
        <v>0</v>
      </c>
      <c r="Z52" s="102">
        <v>0</v>
      </c>
      <c r="AA52" s="289">
        <v>0</v>
      </c>
      <c r="AB52" s="133">
        <v>0.5</v>
      </c>
      <c r="AC52" s="102">
        <v>0.5</v>
      </c>
      <c r="AD52" s="102">
        <v>0.5</v>
      </c>
      <c r="AE52" s="289">
        <v>0.5</v>
      </c>
      <c r="AF52" s="133">
        <v>0.5</v>
      </c>
      <c r="AG52" s="102">
        <v>0.5</v>
      </c>
      <c r="AH52" s="102">
        <v>0.5</v>
      </c>
      <c r="AI52" s="289">
        <v>0.5</v>
      </c>
      <c r="AJ52" s="6"/>
      <c r="AK52" s="6"/>
      <c r="AL52" s="6"/>
      <c r="AM52" s="6"/>
      <c r="AN52" s="6"/>
      <c r="AO52" s="6"/>
      <c r="AP52" s="6"/>
      <c r="AQ52" s="6"/>
      <c r="AR52" s="6">
        <f t="shared" si="0"/>
        <v>0</v>
      </c>
      <c r="AS52" s="6"/>
      <c r="AT52" s="6"/>
      <c r="AU52" s="6"/>
      <c r="AV52" s="6"/>
      <c r="AW52" s="6"/>
      <c r="AX52" s="6"/>
    </row>
    <row r="53" spans="1:73" ht="12.75" customHeight="1" x14ac:dyDescent="0.2">
      <c r="A53" s="287">
        <f>IF('СПИСОК КЛАССА'!J53&gt;0,1,0)</f>
        <v>1</v>
      </c>
      <c r="B53" s="284">
        <v>34</v>
      </c>
      <c r="C53" s="277">
        <f>IF(NOT(ISBLANK('СПИСОК КЛАССА'!C53)),'СПИСОК КЛАССА'!C53,"")</f>
        <v>34</v>
      </c>
      <c r="D53" s="278" t="str">
        <f>IF(NOT(ISBLANK('СПИСОК КЛАССА'!D53)),IF($A53=1,'СПИСОК КЛАССА'!D53, "УЧЕНИК НЕ ВЫПОЛНЯЛ РАБОТУ"),"")</f>
        <v/>
      </c>
      <c r="E53" s="133">
        <v>1</v>
      </c>
      <c r="F53" s="102">
        <v>2</v>
      </c>
      <c r="G53" s="102">
        <v>1</v>
      </c>
      <c r="H53" s="102">
        <v>-6</v>
      </c>
      <c r="I53" s="102">
        <v>3412</v>
      </c>
      <c r="J53" s="102">
        <v>150</v>
      </c>
      <c r="K53" s="102">
        <v>2</v>
      </c>
      <c r="L53" s="102">
        <v>3</v>
      </c>
      <c r="M53" s="102">
        <v>0</v>
      </c>
      <c r="N53" s="102">
        <v>2</v>
      </c>
      <c r="O53" s="102" t="s">
        <v>314</v>
      </c>
      <c r="P53" s="102">
        <v>2351</v>
      </c>
      <c r="Q53" s="102">
        <v>2</v>
      </c>
      <c r="R53" s="102">
        <v>35</v>
      </c>
      <c r="S53" s="102">
        <v>0</v>
      </c>
      <c r="T53" s="102" t="s">
        <v>132</v>
      </c>
      <c r="U53" s="102" t="s">
        <v>132</v>
      </c>
      <c r="V53" s="143" t="s">
        <v>132</v>
      </c>
      <c r="W53" s="133" t="s">
        <v>132</v>
      </c>
      <c r="X53" s="102" t="s">
        <v>132</v>
      </c>
      <c r="Y53" s="102" t="s">
        <v>132</v>
      </c>
      <c r="Z53" s="102" t="s">
        <v>132</v>
      </c>
      <c r="AA53" s="289" t="s">
        <v>132</v>
      </c>
      <c r="AB53" s="133" t="s">
        <v>132</v>
      </c>
      <c r="AC53" s="102" t="s">
        <v>132</v>
      </c>
      <c r="AD53" s="102" t="s">
        <v>132</v>
      </c>
      <c r="AE53" s="289" t="s">
        <v>132</v>
      </c>
      <c r="AF53" s="133" t="s">
        <v>132</v>
      </c>
      <c r="AG53" s="102" t="s">
        <v>132</v>
      </c>
      <c r="AH53" s="102" t="s">
        <v>132</v>
      </c>
      <c r="AI53" s="289" t="s">
        <v>132</v>
      </c>
      <c r="AJ53" s="6"/>
      <c r="AK53" s="6"/>
      <c r="AL53" s="6"/>
      <c r="AM53" s="6"/>
      <c r="AN53" s="6"/>
      <c r="AO53" s="6"/>
      <c r="AP53" s="6"/>
      <c r="AQ53" s="6"/>
      <c r="AR53" s="6">
        <f t="shared" si="0"/>
        <v>0</v>
      </c>
      <c r="AS53" s="6"/>
      <c r="AT53" s="6"/>
      <c r="AU53" s="6"/>
      <c r="AV53" s="6"/>
      <c r="AW53" s="6"/>
      <c r="AX53" s="6"/>
    </row>
    <row r="54" spans="1:73" ht="12.75" customHeight="1" x14ac:dyDescent="0.2">
      <c r="A54" s="287">
        <f>IF('СПИСОК КЛАССА'!J54&gt;0,1,0)</f>
        <v>0</v>
      </c>
      <c r="B54" s="284">
        <v>35</v>
      </c>
      <c r="C54" s="277" t="str">
        <f>IF(NOT(ISBLANK('СПИСОК КЛАССА'!C54)),'СПИСОК КЛАССА'!C54,"")</f>
        <v/>
      </c>
      <c r="D54" s="278" t="str">
        <f>IF(NOT(ISBLANK('СПИСОК КЛАССА'!D54)),IF($A54=1,'СПИСОК КЛАССА'!D54, "УЧЕНИК НЕ ВЫПОЛНЯЛ РАБОТУ"),"")</f>
        <v/>
      </c>
      <c r="E54" s="133"/>
      <c r="F54" s="102"/>
      <c r="G54" s="102"/>
      <c r="H54" s="102"/>
      <c r="I54" s="102"/>
      <c r="J54" s="102"/>
      <c r="K54" s="102"/>
      <c r="L54" s="102"/>
      <c r="M54" s="102"/>
      <c r="N54" s="102"/>
      <c r="O54" s="102"/>
      <c r="P54" s="102"/>
      <c r="Q54" s="102"/>
      <c r="R54" s="102"/>
      <c r="S54" s="102"/>
      <c r="T54" s="102"/>
      <c r="U54" s="102"/>
      <c r="V54" s="143"/>
      <c r="W54" s="133"/>
      <c r="X54" s="102"/>
      <c r="Y54" s="102"/>
      <c r="Z54" s="102"/>
      <c r="AA54" s="289"/>
      <c r="AB54" s="133"/>
      <c r="AC54" s="102"/>
      <c r="AD54" s="102"/>
      <c r="AE54" s="289"/>
      <c r="AF54" s="133"/>
      <c r="AG54" s="102"/>
      <c r="AH54" s="102"/>
      <c r="AI54" s="289"/>
      <c r="AJ54" s="6"/>
      <c r="AK54" s="6"/>
      <c r="AL54" s="6"/>
      <c r="AM54" s="6"/>
      <c r="AN54" s="6"/>
      <c r="AO54" s="6"/>
      <c r="AP54" s="6"/>
      <c r="AQ54" s="6"/>
      <c r="AR54" s="6">
        <f t="shared" si="0"/>
        <v>0</v>
      </c>
      <c r="AS54" s="6"/>
      <c r="AT54" s="6"/>
      <c r="AU54" s="6"/>
      <c r="AV54" s="6"/>
      <c r="AW54" s="6"/>
      <c r="AX54" s="6"/>
    </row>
    <row r="55" spans="1:73" ht="12.75" customHeight="1" x14ac:dyDescent="0.2">
      <c r="A55" s="287">
        <f>IF('СПИСОК КЛАССА'!J55&gt;0,1,0)</f>
        <v>0</v>
      </c>
      <c r="B55" s="284">
        <v>36</v>
      </c>
      <c r="C55" s="277" t="str">
        <f>IF(NOT(ISBLANK('СПИСОК КЛАССА'!C55)),'СПИСОК КЛАССА'!C55,"")</f>
        <v/>
      </c>
      <c r="D55" s="278" t="str">
        <f>IF(NOT(ISBLANK('СПИСОК КЛАССА'!D55)),IF($A55=1,'СПИСОК КЛАССА'!D55, "УЧЕНИК НЕ ВЫПОЛНЯЛ РАБОТУ"),"")</f>
        <v/>
      </c>
      <c r="E55" s="133"/>
      <c r="F55" s="102"/>
      <c r="G55" s="102"/>
      <c r="H55" s="102"/>
      <c r="I55" s="102"/>
      <c r="J55" s="102"/>
      <c r="K55" s="102"/>
      <c r="L55" s="102"/>
      <c r="M55" s="102"/>
      <c r="N55" s="102"/>
      <c r="O55" s="102"/>
      <c r="P55" s="102"/>
      <c r="Q55" s="102"/>
      <c r="R55" s="102"/>
      <c r="S55" s="102"/>
      <c r="T55" s="102"/>
      <c r="U55" s="102"/>
      <c r="V55" s="143"/>
      <c r="W55" s="133"/>
      <c r="X55" s="102"/>
      <c r="Y55" s="102"/>
      <c r="Z55" s="102"/>
      <c r="AA55" s="289"/>
      <c r="AB55" s="133"/>
      <c r="AC55" s="102"/>
      <c r="AD55" s="102"/>
      <c r="AE55" s="289"/>
      <c r="AF55" s="133"/>
      <c r="AG55" s="102"/>
      <c r="AH55" s="102"/>
      <c r="AI55" s="289"/>
      <c r="AJ55" s="6"/>
      <c r="AK55" s="6"/>
      <c r="AL55" s="6"/>
      <c r="AM55" s="6"/>
      <c r="AN55" s="6"/>
      <c r="AO55" s="6"/>
      <c r="AP55" s="6"/>
      <c r="AQ55" s="6"/>
      <c r="AR55" s="6">
        <f t="shared" si="0"/>
        <v>0</v>
      </c>
      <c r="AS55" s="6"/>
      <c r="AT55" s="6"/>
      <c r="AU55" s="6"/>
      <c r="AV55" s="6"/>
      <c r="AW55" s="6"/>
      <c r="AX55" s="6"/>
    </row>
    <row r="56" spans="1:73" ht="12.75" customHeight="1" x14ac:dyDescent="0.2">
      <c r="A56" s="287">
        <f>IF('СПИСОК КЛАССА'!J56&gt;0,1,0)</f>
        <v>0</v>
      </c>
      <c r="B56" s="284">
        <v>37</v>
      </c>
      <c r="C56" s="277" t="str">
        <f>IF(NOT(ISBLANK('СПИСОК КЛАССА'!C56)),'СПИСОК КЛАССА'!C56,"")</f>
        <v/>
      </c>
      <c r="D56" s="278" t="str">
        <f>IF(NOT(ISBLANK('СПИСОК КЛАССА'!D56)),IF($A56=1,'СПИСОК КЛАССА'!D56, "УЧЕНИК НЕ ВЫПОЛНЯЛ РАБОТУ"),"")</f>
        <v/>
      </c>
      <c r="E56" s="133"/>
      <c r="F56" s="102"/>
      <c r="G56" s="102"/>
      <c r="H56" s="102"/>
      <c r="I56" s="102"/>
      <c r="J56" s="102"/>
      <c r="K56" s="102"/>
      <c r="L56" s="102"/>
      <c r="M56" s="102"/>
      <c r="N56" s="102"/>
      <c r="O56" s="102"/>
      <c r="P56" s="102"/>
      <c r="Q56" s="102"/>
      <c r="R56" s="102"/>
      <c r="S56" s="102"/>
      <c r="T56" s="102"/>
      <c r="U56" s="102"/>
      <c r="V56" s="143"/>
      <c r="W56" s="133"/>
      <c r="X56" s="102"/>
      <c r="Y56" s="102"/>
      <c r="Z56" s="102"/>
      <c r="AA56" s="289"/>
      <c r="AB56" s="133"/>
      <c r="AC56" s="102"/>
      <c r="AD56" s="102"/>
      <c r="AE56" s="289"/>
      <c r="AF56" s="133"/>
      <c r="AG56" s="102"/>
      <c r="AH56" s="102"/>
      <c r="AI56" s="289"/>
      <c r="AJ56" s="6"/>
      <c r="AK56" s="6"/>
      <c r="AL56" s="6"/>
      <c r="AM56" s="6"/>
      <c r="AN56" s="6"/>
      <c r="AO56" s="6"/>
      <c r="AP56" s="6"/>
      <c r="AQ56" s="6"/>
      <c r="AR56" s="6">
        <f t="shared" si="0"/>
        <v>0</v>
      </c>
      <c r="AS56" s="6"/>
      <c r="AT56" s="6"/>
      <c r="AU56" s="6"/>
      <c r="AV56" s="6"/>
      <c r="AW56" s="6"/>
      <c r="AX56" s="6"/>
    </row>
    <row r="57" spans="1:73" ht="12.75" customHeight="1" x14ac:dyDescent="0.2">
      <c r="A57" s="287">
        <f>IF('СПИСОК КЛАССА'!J57&gt;0,1,0)</f>
        <v>0</v>
      </c>
      <c r="B57" s="284">
        <v>38</v>
      </c>
      <c r="C57" s="277" t="str">
        <f>IF(NOT(ISBLANK('СПИСОК КЛАССА'!C57)),'СПИСОК КЛАССА'!C57,"")</f>
        <v/>
      </c>
      <c r="D57" s="278" t="str">
        <f>IF(NOT(ISBLANK('СПИСОК КЛАССА'!D57)),IF($A57=1,'СПИСОК КЛАССА'!D57, "УЧЕНИК НЕ ВЫПОЛНЯЛ РАБОТУ"),"")</f>
        <v/>
      </c>
      <c r="E57" s="133"/>
      <c r="F57" s="102"/>
      <c r="G57" s="102"/>
      <c r="H57" s="102"/>
      <c r="I57" s="102"/>
      <c r="J57" s="102"/>
      <c r="K57" s="102"/>
      <c r="L57" s="102"/>
      <c r="M57" s="102"/>
      <c r="N57" s="102"/>
      <c r="O57" s="102"/>
      <c r="P57" s="102"/>
      <c r="Q57" s="102"/>
      <c r="R57" s="102"/>
      <c r="S57" s="102"/>
      <c r="T57" s="102"/>
      <c r="U57" s="102"/>
      <c r="V57" s="143"/>
      <c r="W57" s="133"/>
      <c r="X57" s="102"/>
      <c r="Y57" s="102"/>
      <c r="Z57" s="102"/>
      <c r="AA57" s="289"/>
      <c r="AB57" s="133"/>
      <c r="AC57" s="102"/>
      <c r="AD57" s="102"/>
      <c r="AE57" s="289"/>
      <c r="AF57" s="133"/>
      <c r="AG57" s="102"/>
      <c r="AH57" s="102"/>
      <c r="AI57" s="289"/>
      <c r="AJ57" s="6"/>
      <c r="AK57" s="6"/>
      <c r="AL57" s="6"/>
      <c r="AM57" s="6"/>
      <c r="AN57" s="6"/>
      <c r="AO57" s="6"/>
      <c r="AP57" s="6"/>
      <c r="AQ57" s="6"/>
      <c r="AR57" s="6">
        <f t="shared" si="0"/>
        <v>0</v>
      </c>
      <c r="AS57" s="6"/>
      <c r="AT57" s="6"/>
      <c r="AU57" s="6"/>
      <c r="AV57" s="6"/>
      <c r="AW57" s="6"/>
      <c r="AX57" s="6"/>
    </row>
    <row r="58" spans="1:73" ht="12.75" customHeight="1" x14ac:dyDescent="0.2">
      <c r="A58" s="287">
        <f>IF('СПИСОК КЛАССА'!J58&gt;0,1,0)</f>
        <v>0</v>
      </c>
      <c r="B58" s="284">
        <v>39</v>
      </c>
      <c r="C58" s="277" t="str">
        <f>IF(NOT(ISBLANK('СПИСОК КЛАССА'!C58)),'СПИСОК КЛАССА'!C58,"")</f>
        <v/>
      </c>
      <c r="D58" s="278" t="str">
        <f>IF(NOT(ISBLANK('СПИСОК КЛАССА'!D58)),IF($A58=1,'СПИСОК КЛАССА'!D58, "УЧЕНИК НЕ ВЫПОЛНЯЛ РАБОТУ"),"")</f>
        <v/>
      </c>
      <c r="E58" s="133"/>
      <c r="F58" s="102"/>
      <c r="G58" s="102"/>
      <c r="H58" s="102"/>
      <c r="I58" s="102"/>
      <c r="J58" s="102"/>
      <c r="K58" s="102"/>
      <c r="L58" s="102"/>
      <c r="M58" s="102"/>
      <c r="N58" s="102"/>
      <c r="O58" s="102"/>
      <c r="P58" s="102"/>
      <c r="Q58" s="102"/>
      <c r="R58" s="102"/>
      <c r="S58" s="102"/>
      <c r="T58" s="102"/>
      <c r="U58" s="102"/>
      <c r="V58" s="143"/>
      <c r="W58" s="133"/>
      <c r="X58" s="102"/>
      <c r="Y58" s="102"/>
      <c r="Z58" s="102"/>
      <c r="AA58" s="289"/>
      <c r="AB58" s="133"/>
      <c r="AC58" s="102"/>
      <c r="AD58" s="102"/>
      <c r="AE58" s="289"/>
      <c r="AF58" s="133"/>
      <c r="AG58" s="102"/>
      <c r="AH58" s="102"/>
      <c r="AI58" s="289"/>
      <c r="AJ58" s="6"/>
      <c r="AK58" s="6"/>
      <c r="AL58" s="6"/>
      <c r="AM58" s="6"/>
      <c r="AN58" s="6"/>
      <c r="AO58" s="6"/>
      <c r="AP58" s="6"/>
      <c r="AQ58" s="6"/>
      <c r="AR58" s="6">
        <f t="shared" si="0"/>
        <v>0</v>
      </c>
      <c r="AS58" s="6"/>
      <c r="AT58" s="6"/>
      <c r="AU58" s="6"/>
      <c r="AV58" s="6"/>
      <c r="AW58" s="6"/>
      <c r="AX58" s="6"/>
    </row>
    <row r="59" spans="1:73" ht="12.75" customHeight="1" thickBot="1" x14ac:dyDescent="0.25">
      <c r="A59" s="288">
        <f>IF('СПИСОК КЛАССА'!J59&gt;0,1,0)</f>
        <v>0</v>
      </c>
      <c r="B59" s="285">
        <v>40</v>
      </c>
      <c r="C59" s="282" t="str">
        <f>IF(NOT(ISBLANK('СПИСОК КЛАССА'!C59)),'СПИСОК КЛАССА'!C59,"")</f>
        <v/>
      </c>
      <c r="D59" s="280" t="str">
        <f>IF(NOT(ISBLANK('СПИСОК КЛАССА'!D59)),IF($A59=1,'СПИСОК КЛАССА'!D59, "УЧЕНИК НЕ ВЫПОЛНЯЛ РАБОТУ"),"")</f>
        <v/>
      </c>
      <c r="E59" s="322"/>
      <c r="F59" s="135"/>
      <c r="G59" s="135"/>
      <c r="H59" s="135"/>
      <c r="I59" s="135"/>
      <c r="J59" s="135"/>
      <c r="K59" s="135"/>
      <c r="L59" s="135"/>
      <c r="M59" s="135"/>
      <c r="N59" s="135"/>
      <c r="O59" s="135"/>
      <c r="P59" s="135"/>
      <c r="Q59" s="135"/>
      <c r="R59" s="135"/>
      <c r="S59" s="135"/>
      <c r="T59" s="135"/>
      <c r="U59" s="135"/>
      <c r="V59" s="144"/>
      <c r="W59" s="322"/>
      <c r="X59" s="135"/>
      <c r="Y59" s="135"/>
      <c r="Z59" s="135"/>
      <c r="AA59" s="290"/>
      <c r="AB59" s="322"/>
      <c r="AC59" s="135"/>
      <c r="AD59" s="135"/>
      <c r="AE59" s="290"/>
      <c r="AF59" s="322"/>
      <c r="AG59" s="135"/>
      <c r="AH59" s="135"/>
      <c r="AI59" s="290"/>
      <c r="AJ59" s="6"/>
      <c r="AK59" s="6"/>
      <c r="AL59" s="6"/>
      <c r="AM59" s="6"/>
      <c r="AN59" s="6"/>
      <c r="AO59" s="6"/>
      <c r="AP59" s="6"/>
      <c r="AQ59" s="6"/>
      <c r="AR59" s="6">
        <f t="shared" si="0"/>
        <v>0</v>
      </c>
      <c r="AS59" s="6"/>
      <c r="AT59" s="6"/>
      <c r="AU59" s="6"/>
      <c r="AV59" s="6"/>
      <c r="AW59" s="6"/>
      <c r="AX59" s="6"/>
    </row>
    <row r="60" spans="1:73" x14ac:dyDescent="0.2">
      <c r="A60" s="6"/>
      <c r="B60" s="6"/>
      <c r="C60" s="6"/>
      <c r="D60" s="6"/>
      <c r="E60" s="6"/>
      <c r="F60" s="268"/>
      <c r="G60" s="268"/>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row>
    <row r="61" spans="1:73"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row>
    <row r="62" spans="1:73"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268"/>
      <c r="AK62" s="26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row>
    <row r="63" spans="1:73" x14ac:dyDescent="0.2">
      <c r="A63" s="6"/>
      <c r="B63" s="6"/>
      <c r="C63" s="6"/>
      <c r="D63" s="6"/>
      <c r="E63" s="6"/>
      <c r="F63" s="6"/>
      <c r="G63" s="6"/>
      <c r="H63" s="6"/>
      <c r="I63" s="268"/>
      <c r="J63" s="268"/>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row>
    <row r="64" spans="1:73"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row>
    <row r="65" spans="1:73"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row>
    <row r="66" spans="1:73"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row>
    <row r="67" spans="1:73"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row>
    <row r="68" spans="1:73"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row>
    <row r="69" spans="1:73"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row>
    <row r="70" spans="1:73"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row>
    <row r="71" spans="1:73"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row>
    <row r="72" spans="1:73"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row>
    <row r="73" spans="1:73"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row>
    <row r="74" spans="1:73"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row>
    <row r="75" spans="1:73"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row>
    <row r="76" spans="1:73"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row>
    <row r="77" spans="1:73"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row>
    <row r="78" spans="1:73"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row>
    <row r="79" spans="1:73"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row>
    <row r="80" spans="1:73"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row>
    <row r="81" spans="1:73"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row>
    <row r="82" spans="1:73"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row>
    <row r="83" spans="1:73"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row>
    <row r="84" spans="1:73"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row>
    <row r="85" spans="1:73"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row>
    <row r="86" spans="1:73"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row>
    <row r="87" spans="1:73"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row>
    <row r="88" spans="1:73"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row>
    <row r="89" spans="1:73"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row>
    <row r="90" spans="1:73"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row>
    <row r="91" spans="1:73"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row>
    <row r="92" spans="1:73"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row>
    <row r="93" spans="1:73"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row>
    <row r="94" spans="1:73"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row>
    <row r="95" spans="1:73"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row>
    <row r="96" spans="1:73"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row>
    <row r="97" spans="1:73"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row>
    <row r="98" spans="1:73"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row>
    <row r="99" spans="1:73"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row>
    <row r="100" spans="1:73"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row>
    <row r="101" spans="1:73"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row>
    <row r="102" spans="1:73"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row>
    <row r="103" spans="1:73"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row>
    <row r="104" spans="1:73"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row>
    <row r="105" spans="1:73"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row>
    <row r="106" spans="1:73"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row>
    <row r="107" spans="1:73"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row>
    <row r="108" spans="1:73"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row>
    <row r="109" spans="1:73"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row>
    <row r="110" spans="1:73"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row>
    <row r="111" spans="1:73"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row>
    <row r="112" spans="1:73"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row>
    <row r="113" spans="1:73"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row>
    <row r="114" spans="1:73"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row>
    <row r="115" spans="1:73"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row>
    <row r="116" spans="1:73"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row>
    <row r="117" spans="1:73"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row>
    <row r="118" spans="1:73"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row>
    <row r="119" spans="1:73"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row>
    <row r="120" spans="1:73"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row>
    <row r="121" spans="1:73"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row>
    <row r="122" spans="1:73"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row>
    <row r="123" spans="1:73"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row>
    <row r="124" spans="1:73"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row>
    <row r="125" spans="1:73"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row>
    <row r="126" spans="1:73"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row>
    <row r="127" spans="1:73"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row>
    <row r="128" spans="1:73"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row>
    <row r="129" spans="1:73"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row>
    <row r="130" spans="1:73"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row>
    <row r="131" spans="1:73"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row>
    <row r="132" spans="1:73"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row>
    <row r="133" spans="1:73"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row>
    <row r="134" spans="1:73"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row>
    <row r="135" spans="1:73"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row>
    <row r="136" spans="1:73"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row>
    <row r="137" spans="1:73"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row>
    <row r="138" spans="1:73"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row>
    <row r="139" spans="1:73"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row>
    <row r="140" spans="1:73"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row>
    <row r="141" spans="1:73"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row>
    <row r="142" spans="1:73"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row>
    <row r="143" spans="1:73"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row>
    <row r="144" spans="1:73"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row>
    <row r="145" spans="1:73"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row>
    <row r="146" spans="1:73"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row>
    <row r="147" spans="1:73"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row>
    <row r="148" spans="1:73"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row>
    <row r="149" spans="1:73"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row>
    <row r="150" spans="1:73"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row>
    <row r="151" spans="1:73"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row>
    <row r="152" spans="1:73"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row>
    <row r="153" spans="1:73"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row>
    <row r="154" spans="1:73"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row>
    <row r="155" spans="1:73"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row>
    <row r="156" spans="1:73"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row>
    <row r="157" spans="1:73"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row>
    <row r="158" spans="1:73"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row>
    <row r="159" spans="1:73"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row>
    <row r="160" spans="1:73"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row>
    <row r="161" spans="1:73"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row>
    <row r="162" spans="1:73"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row>
  </sheetData>
  <sheetProtection selectLockedCells="1"/>
  <protectedRanges>
    <protectedRange sqref="E20:AI59" name="Диапазон3"/>
  </protectedRanges>
  <dataConsolidate/>
  <customSheetViews>
    <customSheetView guid="{BFE542F4-8A0C-4C42-A5CA-C7B0ACF2717E}" scale="90" hiddenRows="1" hiddenColumns="1" topLeftCell="C1">
      <selection activeCell="AA6" sqref="AA6"/>
      <pageMargins left="0.17" right="0.19" top="0.48583333333333334" bottom="0.17" header="0.17" footer="0.5"/>
      <pageSetup paperSize="9" scale="90" fitToWidth="0" fitToHeight="0" orientation="landscape" r:id="rId1"/>
      <headerFooter alignWithMargins="0">
        <oddHeader>&amp;CКГБУ "Региональный центр оценки качества образования"</oddHeader>
      </headerFooter>
    </customSheetView>
  </customSheetViews>
  <mergeCells count="13">
    <mergeCell ref="H2:J2"/>
    <mergeCell ref="K2:M2"/>
    <mergeCell ref="N2:O2"/>
    <mergeCell ref="D2:E2"/>
    <mergeCell ref="F2:G2"/>
    <mergeCell ref="G4:V4"/>
    <mergeCell ref="B9:AL9"/>
    <mergeCell ref="C4:F4"/>
    <mergeCell ref="B10:B12"/>
    <mergeCell ref="C10:C12"/>
    <mergeCell ref="D10:D12"/>
    <mergeCell ref="J6:M6"/>
    <mergeCell ref="E10:AI11"/>
  </mergeCells>
  <conditionalFormatting sqref="E20:AI59">
    <cfRule type="expression" dxfId="3" priority="4" stopIfTrue="1">
      <formula>AND(OR($C20&lt;&gt;"",$D20&lt;&gt;""),$A20=1,ISBLANK(E20))</formula>
    </cfRule>
  </conditionalFormatting>
  <dataValidations xWindow="394" yWindow="812" count="21">
    <dataValidation type="list" allowBlank="1" showDropDown="1" showInputMessage="1" showErrorMessage="1" promptTitle="2. Ответ учащегося" prompt="Возможные значения: 1-4._x000a_Если ученик не дал ответа, введите N." sqref="F20:F59">
      <formula1>"1,2,3,4,N"</formula1>
    </dataValidation>
    <dataValidation type="list" allowBlank="1" showDropDown="1" showInputMessage="1" showErrorMessage="1" promptTitle="3. Ответ учащегося" prompt="Возможные значения: 1-4._x000a_Если ученик не дал ответа, введите N." sqref="G20:G59">
      <formula1>"1,2,3,4,N"</formula1>
    </dataValidation>
    <dataValidation allowBlank="1" showDropDown="1" showInputMessage="1" showErrorMessage="1" promptTitle="4. Ответ учащегося" prompt="Введите ответ ученика в виде числа._x000a_Если ученик не дал ответа, введите N." sqref="H20:H59"/>
    <dataValidation allowBlank="1" showDropDown="1" showInputMessage="1" showErrorMessage="1" promptTitle="6. Ответ учащегося" prompt="Введите ответ ученика в виде числа._x000a_Если ученик не дал ответа, введите N." sqref="J20:J59"/>
    <dataValidation type="list" allowBlank="1" showDropDown="1" showInputMessage="1" showErrorMessage="1" promptTitle="7. Ответ учащегося" prompt="Возможные значения: 1-4._x000a_Если ученик не дал ответа, введите N." sqref="K20:K59">
      <formula1>"1,2,3,4,N"</formula1>
    </dataValidation>
    <dataValidation type="list" allowBlank="1" showDropDown="1" showInputMessage="1" showErrorMessage="1" promptTitle="8. Ответ учащегося" prompt="Возможные значения: 1-4._x000a_Если ученик не дал ответа, введите N." sqref="L20:L59">
      <formula1>"1,2,3,4,N"</formula1>
    </dataValidation>
    <dataValidation type="list" allowBlank="1" showDropDown="1" showInputMessage="1" showErrorMessage="1" promptTitle="10. Ответ учащегося" prompt="Возможные значения: 1-4._x000a_Если ученик не дал ответа, введите N." sqref="N20:N59">
      <formula1>"1,2,3,4,N"</formula1>
    </dataValidation>
    <dataValidation allowBlank="1" showDropDown="1" showInputMessage="1" showErrorMessage="1" promptTitle="11. Ответ учащегося" prompt="Введите ответ ученика в виде последовательности букв без знаков препинания._x000a_Например: АБВГ_x000a_Если ученик не дал ответа, введите N." sqref="O20:O59"/>
    <dataValidation allowBlank="1" showInputMessage="1" showErrorMessage="1" promptTitle="12. Ответ учащегося" prompt="Введите ответ ученика в виде последовательности цифр без знаков препинания._x000a_Например: 4532_x000a_Если ученик не дал ответа, введите N." sqref="P20:P59"/>
    <dataValidation allowBlank="1" showDropDown="1" showInputMessage="1" showErrorMessage="1" promptTitle="13. Ответ учащегося." prompt="Введите ответ ученика в виде числа._x000a_Если ученик не дал ответа, введите N." sqref="Q20:Q59"/>
    <dataValidation allowBlank="1" showDropDown="1" showInputMessage="1" showErrorMessage="1" promptTitle="14. Ответ учащегося." prompt="Введите ответ ученика в виде числа._x000a_Если ученик не дал ответа, введите N." sqref="R20:R59"/>
    <dataValidation allowBlank="1" showDropDown="1" showInputMessage="1" showErrorMessage="1" promptTitle="15. Ответ учащегося." prompt="Введите ответ ученика в виде числа._x000a_Если ученик не дал ответа, введите N." sqref="S20:S59"/>
    <dataValidation type="list" allowBlank="1" showDropDown="1" showInputMessage="1" showErrorMessage="1" promptTitle="16. Ответ учащегося." prompt="Возможные значения: 1-4._x000a_Если ученик не дал ответа, введите N." sqref="T20:T59">
      <formula1>"1,2,3,4,N"</formula1>
    </dataValidation>
    <dataValidation allowBlank="1" showInputMessage="1" showErrorMessage="1" promptTitle="17. Ответ учащегося" prompt="Введите ответ ученика в виде числа._x000a_Если ученик не дал ответа, введите N." sqref="U20:U59"/>
    <dataValidation allowBlank="1" showDropDown="1" showInputMessage="1" showErrorMessage="1" promptTitle="18. Ответ учащегося." prompt="Введите ответ ученика в виде числа._x000a_Если ученик не дал ответа, введите N." sqref="V20:V59"/>
    <dataValidation allowBlank="1" showDropDown="1" showInputMessage="1" showErrorMessage="1" promptTitle="5. Ответ учащегося" prompt="Введите ответ ученика в виде последовательности ЦИФР без знаков препинания._x000a_Например: 3542_x000a_Если ученик не дал ответа, введите N." sqref="I20:I59"/>
    <dataValidation type="list" allowBlank="1" showDropDown="1" showInputMessage="1" showErrorMessage="1" promptTitle="1. Балл за выполнение задания" prompt="ВВЕДИТЕ БАЛЛ УЧЕНИКА._x000a_Возможные значения: 0 или 1._x000a_Если ученик не дал ответа, введите N." sqref="E20:E59">
      <formula1>"0,1,N"</formula1>
    </dataValidation>
    <dataValidation type="list" allowBlank="1" showDropDown="1" showInputMessage="1" showErrorMessage="1" promptTitle="9. Балл за выполнение задания" prompt="ВВЕДИТЕ БАЛЛ УЧЕНИКА._x000a_Возможные значения: 0 или 1._x000a_Если ученик не дал ответа, введите N." sqref="M20:M59">
      <formula1>"0,1,N"</formula1>
    </dataValidation>
    <dataValidation allowBlank="1" showInputMessage="1" showErrorMessage="1" promptTitle="19.1. Ответ учащегося." prompt="Возможные значения: 0 или 0,4._x000a_Если ученик не дал ответа, введите N." sqref="W20:W59"/>
    <dataValidation allowBlank="1" showInputMessage="1" showErrorMessage="1" promptTitle="19.2. Ответ учащегося." prompt="Возможные значения: 0 или 0,4._x000a_Если ученик не дал ответа, введите N." sqref="X20:X59"/>
    <dataValidation allowBlank="1" showInputMessage="1" showErrorMessage="1" promptTitle="19.3. Ответ учащегося." prompt="Возможные значения: 0 или 0,4._x000a_Если ученик не дал ответа, введите N." sqref="Y20:Y59"/>
  </dataValidations>
  <pageMargins left="0.17" right="0.19" top="0.48583333333333334" bottom="0.17" header="0.17" footer="0.5"/>
  <pageSetup paperSize="9" scale="90" fitToWidth="0" fitToHeight="0" orientation="landscape" r:id="rId2"/>
  <headerFooter alignWithMargins="0">
    <oddHeader>&amp;CКГБУ "Региональный центр оценки качества образования"</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tabColor rgb="FFFFFF00"/>
  </sheetPr>
  <dimension ref="A1:CL162"/>
  <sheetViews>
    <sheetView topLeftCell="B2" zoomScale="90" zoomScaleNormal="90" zoomScalePageLayoutView="90" workbookViewId="0">
      <selection activeCell="AI2" sqref="AI2"/>
    </sheetView>
  </sheetViews>
  <sheetFormatPr defaultRowHeight="12.75" x14ac:dyDescent="0.2"/>
  <cols>
    <col min="1" max="1" width="9.85546875" style="1" hidden="1" customWidth="1"/>
    <col min="2" max="2" width="4" style="1" customWidth="1"/>
    <col min="3" max="3" width="4.28515625" style="1" bestFit="1" customWidth="1"/>
    <col min="4" max="4" width="29" style="1" customWidth="1"/>
    <col min="5" max="5" width="4" style="1" customWidth="1"/>
    <col min="6" max="23" width="5.42578125" style="1" customWidth="1"/>
    <col min="24" max="24" width="5.5703125" style="1" hidden="1" customWidth="1"/>
    <col min="25" max="25" width="5.5703125" style="1" customWidth="1"/>
    <col min="26" max="26" width="2.7109375" style="1" hidden="1" customWidth="1"/>
    <col min="27" max="28" width="5.42578125" style="1" customWidth="1"/>
    <col min="29" max="29" width="10.140625" style="1" customWidth="1"/>
    <col min="30" max="30" width="7.85546875" style="1" customWidth="1"/>
    <col min="31" max="31" width="10.140625" style="1" customWidth="1"/>
    <col min="32" max="32" width="10.7109375" style="1" customWidth="1"/>
    <col min="33" max="33" width="15.140625" style="1" customWidth="1"/>
    <col min="34" max="34" width="16" style="1" customWidth="1"/>
    <col min="35" max="35" width="22.42578125" style="1" customWidth="1"/>
    <col min="36" max="36" width="9.28515625" style="444" customWidth="1"/>
    <col min="37" max="37" width="6.85546875" style="444" customWidth="1"/>
    <col min="38" max="38" width="6.5703125" style="444" customWidth="1"/>
    <col min="39" max="39" width="5.85546875" style="444" customWidth="1"/>
    <col min="40" max="40" width="6.85546875" style="427" hidden="1" customWidth="1"/>
    <col min="41" max="41" width="7.140625" style="427" hidden="1" customWidth="1"/>
    <col min="42" max="42" width="7.85546875" style="427" hidden="1" customWidth="1"/>
    <col min="43" max="43" width="7.5703125" style="427" hidden="1" customWidth="1"/>
    <col min="44" max="44" width="5.5703125" style="427" hidden="1" customWidth="1"/>
    <col min="45" max="45" width="6" style="427" hidden="1" customWidth="1"/>
    <col min="46" max="46" width="6.7109375" style="427" hidden="1" customWidth="1"/>
    <col min="47" max="47" width="6.5703125" style="427" hidden="1" customWidth="1"/>
    <col min="48" max="48" width="6.28515625" style="427" hidden="1" customWidth="1"/>
    <col min="49" max="49" width="5.140625" style="427" hidden="1" customWidth="1"/>
    <col min="50" max="55" width="6.42578125" style="427" hidden="1" customWidth="1"/>
    <col min="56" max="56" width="5.140625" style="427" hidden="1" customWidth="1"/>
    <col min="57" max="58" width="5.140625" style="427" customWidth="1"/>
    <col min="59" max="60" width="5.140625" style="1" customWidth="1"/>
    <col min="61" max="64" width="4.42578125" style="1" customWidth="1"/>
    <col min="65" max="16384" width="9.140625" style="1"/>
  </cols>
  <sheetData>
    <row r="1" spans="1:90" ht="17.25" customHeight="1" thickBot="1" x14ac:dyDescent="0.25">
      <c r="B1" s="106"/>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443"/>
      <c r="AK1" s="443"/>
      <c r="AL1" s="443"/>
      <c r="AM1" s="443"/>
      <c r="AN1" s="419"/>
      <c r="AO1" s="419"/>
      <c r="AP1" s="419"/>
      <c r="AQ1" s="419"/>
      <c r="AR1" s="419"/>
      <c r="AS1" s="419"/>
      <c r="AT1" s="419"/>
      <c r="AU1" s="419"/>
      <c r="AV1" s="419"/>
      <c r="AW1" s="419"/>
      <c r="AX1" s="419"/>
      <c r="AY1" s="419"/>
      <c r="AZ1" s="419"/>
      <c r="BA1" s="419"/>
      <c r="BB1" s="419"/>
      <c r="BC1" s="419"/>
      <c r="BD1" s="419"/>
      <c r="BE1" s="419"/>
      <c r="BF1" s="419"/>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row>
    <row r="2" spans="1:90" ht="30.75" customHeight="1" thickBot="1" x14ac:dyDescent="0.3">
      <c r="B2" s="106"/>
      <c r="C2" s="87"/>
      <c r="D2" s="88"/>
      <c r="E2" s="545" t="s">
        <v>0</v>
      </c>
      <c r="F2" s="545"/>
      <c r="G2" s="545"/>
      <c r="H2" s="546"/>
      <c r="I2" s="542" t="str">
        <f>IF(NOT(ISBLANK('СПИСОК КЛАССА'!H1)),'СПИСОК КЛАССА'!H1,"")</f>
        <v>138066</v>
      </c>
      <c r="J2" s="543"/>
      <c r="K2" s="544"/>
      <c r="L2" s="581" t="s">
        <v>1</v>
      </c>
      <c r="M2" s="545"/>
      <c r="N2" s="546"/>
      <c r="O2" s="582" t="str">
        <f>IF(NOT(ISBLANK('СПИСОК КЛАССА'!J1)),'СПИСОК КЛАССА'!J1,"")</f>
        <v>1001</v>
      </c>
      <c r="P2" s="582"/>
      <c r="Q2" s="89"/>
      <c r="S2" s="89"/>
      <c r="T2" s="89"/>
      <c r="U2" s="89"/>
      <c r="V2" s="89"/>
      <c r="W2" s="89"/>
      <c r="X2" s="89"/>
      <c r="Y2" s="89"/>
      <c r="Z2" s="89"/>
      <c r="AA2" s="89"/>
      <c r="AB2" s="89"/>
      <c r="AC2" s="89"/>
      <c r="AD2" s="89"/>
      <c r="AE2" s="89"/>
      <c r="AF2" s="91"/>
      <c r="AG2" s="91"/>
      <c r="AH2" s="97" t="s">
        <v>13</v>
      </c>
      <c r="AI2" s="98" t="s">
        <v>294</v>
      </c>
      <c r="AJ2" s="420"/>
      <c r="AK2" s="420"/>
      <c r="AL2" s="443"/>
      <c r="AM2" s="443"/>
      <c r="AN2" s="419"/>
      <c r="AO2" s="419"/>
      <c r="AP2" s="419"/>
      <c r="AQ2" s="419"/>
      <c r="AR2" s="419"/>
      <c r="AS2" s="419"/>
      <c r="AT2" s="419"/>
      <c r="AU2" s="419"/>
      <c r="AV2" s="419"/>
      <c r="AW2" s="419"/>
      <c r="AX2" s="419"/>
      <c r="AY2" s="419"/>
      <c r="AZ2" s="419"/>
      <c r="BA2" s="419"/>
      <c r="BB2" s="419"/>
      <c r="BC2" s="419"/>
      <c r="BD2" s="419"/>
      <c r="BE2" s="419"/>
      <c r="BF2" s="419"/>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row>
    <row r="3" spans="1:90" x14ac:dyDescent="0.2">
      <c r="B3" s="106"/>
      <c r="C3" s="87"/>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421"/>
      <c r="AK3" s="421"/>
      <c r="AL3" s="421"/>
      <c r="AM3" s="421"/>
      <c r="AN3" s="419"/>
      <c r="AO3" s="419"/>
      <c r="AP3" s="419"/>
      <c r="AQ3" s="419"/>
      <c r="AR3" s="419"/>
      <c r="AS3" s="419"/>
      <c r="AT3" s="419"/>
      <c r="AU3" s="419"/>
      <c r="AV3" s="419"/>
      <c r="AW3" s="419"/>
      <c r="AX3" s="419"/>
      <c r="AY3" s="419"/>
      <c r="AZ3" s="419"/>
      <c r="BA3" s="419"/>
      <c r="BB3" s="419"/>
      <c r="BC3" s="419"/>
      <c r="BD3" s="419"/>
      <c r="BE3" s="419"/>
      <c r="BF3" s="419"/>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row>
    <row r="4" spans="1:90" s="3" customFormat="1" ht="23.25" customHeight="1" thickBot="1" x14ac:dyDescent="0.25">
      <c r="B4" s="93"/>
      <c r="C4" s="525" t="s">
        <v>141</v>
      </c>
      <c r="D4" s="525"/>
      <c r="E4" s="525"/>
      <c r="F4" s="525"/>
      <c r="G4" s="585" t="str">
        <f>IF(NOT(ISBLANK('СПИСОК КЛАССА'!E3)),'СПИСОК КЛАССА'!E3,"")</f>
        <v/>
      </c>
      <c r="H4" s="585"/>
      <c r="I4" s="585"/>
      <c r="J4" s="585"/>
      <c r="K4" s="585"/>
      <c r="L4" s="585"/>
      <c r="M4" s="585"/>
      <c r="N4" s="585"/>
      <c r="O4" s="585"/>
      <c r="P4" s="585"/>
      <c r="Q4" s="585"/>
      <c r="R4" s="585"/>
      <c r="S4" s="585"/>
      <c r="T4" s="585"/>
      <c r="U4" s="585"/>
      <c r="V4" s="585"/>
      <c r="W4" s="585"/>
      <c r="X4" s="585"/>
      <c r="Y4" s="585"/>
      <c r="Z4" s="585"/>
      <c r="AA4" s="585"/>
      <c r="AB4" s="585"/>
      <c r="AC4" s="301"/>
      <c r="AD4" s="301"/>
      <c r="AE4" s="301"/>
      <c r="AF4" s="586" t="str">
        <f>IF(AND(OR($C21&lt;&gt;"",$D21&lt;&gt;""),$A21=1,$AI$2="ДА"),"ВНИМАНИЕ! Проверьте правильность заполнения всех форм!","")</f>
        <v>ВНИМАНИЕ! Проверьте правильность заполнения всех форм!</v>
      </c>
      <c r="AG4" s="586"/>
      <c r="AH4" s="586"/>
      <c r="AI4" s="586"/>
      <c r="AJ4" s="420"/>
      <c r="AK4" s="422"/>
      <c r="AL4" s="423"/>
      <c r="AM4" s="423"/>
      <c r="AN4" s="424"/>
      <c r="AO4" s="424"/>
      <c r="AP4" s="424"/>
      <c r="AQ4" s="424"/>
      <c r="AR4" s="425"/>
      <c r="AS4" s="425"/>
      <c r="AT4" s="425"/>
      <c r="AU4" s="425"/>
      <c r="AV4" s="425"/>
      <c r="AW4" s="425"/>
      <c r="AX4" s="425"/>
      <c r="AY4" s="425"/>
      <c r="AZ4" s="425"/>
      <c r="BA4" s="425"/>
      <c r="BB4" s="425"/>
      <c r="BC4" s="425"/>
      <c r="BD4" s="425"/>
      <c r="BE4" s="425"/>
      <c r="BF4" s="425"/>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row>
    <row r="5" spans="1:90" x14ac:dyDescent="0.2">
      <c r="B5" s="106"/>
      <c r="C5" s="87"/>
      <c r="D5" s="94"/>
      <c r="E5" s="92"/>
      <c r="F5" s="92"/>
      <c r="G5" s="87"/>
      <c r="H5" s="94"/>
      <c r="I5" s="94"/>
      <c r="J5" s="94"/>
      <c r="K5" s="94"/>
      <c r="L5" s="94"/>
      <c r="M5" s="94"/>
      <c r="N5" s="94"/>
      <c r="O5" s="94"/>
      <c r="P5" s="94"/>
      <c r="Q5" s="94"/>
      <c r="R5" s="94"/>
      <c r="S5" s="94"/>
      <c r="T5" s="94"/>
      <c r="U5" s="94"/>
      <c r="V5" s="94"/>
      <c r="W5" s="94"/>
      <c r="X5" s="94"/>
      <c r="Y5" s="94"/>
      <c r="Z5" s="94"/>
      <c r="AA5" s="94"/>
      <c r="AB5" s="94"/>
      <c r="AC5" s="94"/>
      <c r="AD5" s="94"/>
      <c r="AE5" s="94"/>
      <c r="AF5" s="587" t="str">
        <f>IF(AND(OR($C21&lt;&gt;"",$D21&lt;&gt;""),$A21=1,$AI$2="ДА"),"Не заполнено полей в СПИСКЕ КЛАССА","")</f>
        <v>Не заполнено полей в СПИСКЕ КЛАССА</v>
      </c>
      <c r="AG5" s="587"/>
      <c r="AH5" s="587"/>
      <c r="AI5" s="264">
        <f>IF(AND(OR($C21&lt;&gt;"",$D21&lt;&gt;""),$A21=1,$AI$2="ДА"),'СПИСОК КЛАССА'!S19,"")</f>
        <v>34</v>
      </c>
      <c r="AJ5" s="426"/>
      <c r="AK5" s="426"/>
      <c r="AL5" s="426"/>
      <c r="AM5" s="426"/>
      <c r="AN5" s="264"/>
      <c r="AO5" s="264"/>
      <c r="AP5" s="264"/>
      <c r="AQ5" s="264"/>
      <c r="AR5" s="419"/>
      <c r="AS5" s="419"/>
      <c r="AT5" s="419"/>
      <c r="AU5" s="419"/>
      <c r="AV5" s="419"/>
      <c r="AW5" s="419"/>
      <c r="AX5" s="419"/>
      <c r="AY5" s="419"/>
      <c r="AZ5" s="419"/>
      <c r="BA5" s="419"/>
      <c r="BB5" s="419"/>
      <c r="BC5" s="419"/>
      <c r="BD5" s="419"/>
      <c r="BE5" s="419"/>
      <c r="BF5" s="419"/>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row>
    <row r="6" spans="1:90" ht="17.25" customHeight="1" thickBot="1" x14ac:dyDescent="0.3">
      <c r="B6" s="106"/>
      <c r="C6" s="87"/>
      <c r="D6" s="95" t="s">
        <v>130</v>
      </c>
      <c r="E6" s="95"/>
      <c r="F6" s="96">
        <f>'Ответы учащихся'!E7</f>
        <v>34</v>
      </c>
      <c r="G6" s="87"/>
      <c r="I6" s="87"/>
      <c r="J6" s="95" t="s">
        <v>12</v>
      </c>
      <c r="K6" s="584" t="str">
        <f>'Ответы учащихся'!J6</f>
        <v>1 октября</v>
      </c>
      <c r="L6" s="584"/>
      <c r="M6" s="584"/>
      <c r="N6" s="584"/>
      <c r="O6" s="89"/>
      <c r="P6" s="105"/>
      <c r="Q6" s="91"/>
      <c r="R6" s="89"/>
      <c r="S6" s="105"/>
      <c r="T6" s="91"/>
      <c r="U6" s="91"/>
      <c r="V6" s="91"/>
      <c r="W6" s="91"/>
      <c r="X6" s="91"/>
      <c r="Y6" s="91"/>
      <c r="Z6" s="91"/>
      <c r="AA6" s="91"/>
      <c r="AB6" s="91"/>
      <c r="AC6" s="91"/>
      <c r="AD6" s="91"/>
      <c r="AE6" s="91"/>
      <c r="AF6" s="587" t="str">
        <f>IF(AND(OR($C21&lt;&gt;"",$D21&lt;&gt;""),$A21=1,$AI$2="ДА"),"Не заполнено полей в ОТВЕТАХ УЧАЩИХСЯ","")</f>
        <v>Не заполнено полей в ОТВЕТАХ УЧАЩИХСЯ</v>
      </c>
      <c r="AG6" s="587"/>
      <c r="AH6" s="587"/>
      <c r="AI6" s="264">
        <f>IF(AND(OR($C21&lt;&gt;"",$D21&lt;&gt;""),$A21=1,$AI$2="ДА"),'Ответы учащихся'!AR19,"")</f>
        <v>0</v>
      </c>
      <c r="AK6" s="264"/>
      <c r="AM6" s="264"/>
      <c r="AN6" s="428"/>
      <c r="AO6" s="428"/>
      <c r="AP6" s="428"/>
      <c r="AQ6" s="428"/>
      <c r="AR6" s="419"/>
      <c r="AS6" s="419"/>
      <c r="AT6" s="419"/>
      <c r="AU6" s="419"/>
      <c r="AV6" s="419"/>
      <c r="AW6" s="419"/>
      <c r="AX6" s="419"/>
      <c r="AY6" s="419"/>
      <c r="AZ6" s="419"/>
      <c r="BA6" s="419"/>
      <c r="BB6" s="419"/>
      <c r="BC6" s="419"/>
      <c r="BD6" s="419"/>
      <c r="BE6" s="419"/>
      <c r="BF6" s="419"/>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row>
    <row r="7" spans="1:90" x14ac:dyDescent="0.2">
      <c r="B7" s="106"/>
      <c r="C7" s="87"/>
      <c r="D7" s="99"/>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421"/>
      <c r="AK7" s="421"/>
      <c r="AL7" s="421"/>
      <c r="AM7" s="421"/>
      <c r="AN7" s="428"/>
      <c r="AO7" s="428"/>
      <c r="AP7" s="428"/>
      <c r="AQ7" s="428"/>
      <c r="AR7" s="419"/>
      <c r="AS7" s="419"/>
      <c r="AT7" s="419"/>
      <c r="AU7" s="419"/>
      <c r="AV7" s="419"/>
      <c r="AW7" s="419"/>
      <c r="AX7" s="419"/>
      <c r="AY7" s="419"/>
      <c r="AZ7" s="419"/>
      <c r="BA7" s="419"/>
      <c r="BB7" s="419"/>
      <c r="BC7" s="419"/>
      <c r="BD7" s="419"/>
      <c r="BE7" s="419"/>
      <c r="BF7" s="419"/>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row>
    <row r="8" spans="1:90" ht="16.5" thickBot="1" x14ac:dyDescent="0.3">
      <c r="B8" s="107"/>
      <c r="C8" s="524" t="s">
        <v>178</v>
      </c>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428"/>
      <c r="AO8" s="428"/>
      <c r="AP8" s="428"/>
      <c r="AQ8" s="428"/>
      <c r="AR8" s="419"/>
      <c r="AS8" s="419"/>
      <c r="AT8" s="419"/>
      <c r="AU8" s="419"/>
      <c r="AV8" s="419"/>
      <c r="AW8" s="419"/>
      <c r="AX8" s="419"/>
      <c r="AY8" s="419"/>
      <c r="AZ8" s="419"/>
      <c r="BA8" s="419"/>
      <c r="BB8" s="419"/>
      <c r="BC8" s="419"/>
      <c r="BD8" s="419"/>
      <c r="BE8" s="419"/>
      <c r="BF8" s="419"/>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row>
    <row r="9" spans="1:90" ht="15.75" customHeight="1" x14ac:dyDescent="0.2">
      <c r="A9" s="10"/>
      <c r="B9" s="561" t="s">
        <v>2</v>
      </c>
      <c r="C9" s="564" t="s">
        <v>14</v>
      </c>
      <c r="D9" s="573" t="s">
        <v>3</v>
      </c>
      <c r="E9" s="576" t="s">
        <v>148</v>
      </c>
      <c r="F9" s="579" t="s">
        <v>149</v>
      </c>
      <c r="G9" s="537"/>
      <c r="H9" s="537"/>
      <c r="I9" s="537"/>
      <c r="J9" s="537"/>
      <c r="K9" s="537"/>
      <c r="L9" s="537"/>
      <c r="M9" s="537"/>
      <c r="N9" s="537"/>
      <c r="O9" s="537"/>
      <c r="P9" s="537"/>
      <c r="Q9" s="537"/>
      <c r="R9" s="537"/>
      <c r="S9" s="537"/>
      <c r="T9" s="537"/>
      <c r="U9" s="537"/>
      <c r="V9" s="537"/>
      <c r="W9" s="537"/>
      <c r="X9" s="537"/>
      <c r="Y9" s="537"/>
      <c r="Z9" s="537"/>
      <c r="AA9" s="537"/>
      <c r="AB9" s="538"/>
      <c r="AC9" s="570" t="s">
        <v>16</v>
      </c>
      <c r="AD9" s="567" t="s">
        <v>20</v>
      </c>
      <c r="AE9" s="549" t="s">
        <v>193</v>
      </c>
      <c r="AF9" s="552" t="s">
        <v>129</v>
      </c>
      <c r="AG9" s="555" t="s">
        <v>116</v>
      </c>
      <c r="AH9" s="558" t="s">
        <v>128</v>
      </c>
      <c r="AI9" s="558" t="s">
        <v>98</v>
      </c>
      <c r="AJ9" s="445"/>
      <c r="AK9" s="445"/>
      <c r="AL9" s="445"/>
      <c r="AM9" s="445"/>
      <c r="AN9" s="419"/>
      <c r="AO9" s="419"/>
      <c r="AP9" s="419"/>
      <c r="AQ9" s="419"/>
      <c r="AR9" s="419"/>
      <c r="AS9" s="419"/>
      <c r="AT9" s="419"/>
      <c r="AU9" s="419"/>
      <c r="AV9" s="419"/>
      <c r="AW9" s="419"/>
      <c r="AX9" s="419"/>
      <c r="AY9" s="419"/>
      <c r="AZ9" s="419"/>
      <c r="BA9" s="419"/>
      <c r="BB9" s="419"/>
      <c r="BC9" s="419"/>
      <c r="BD9" s="419"/>
      <c r="BE9" s="419"/>
      <c r="BF9" s="419"/>
      <c r="BG9" s="6"/>
      <c r="BH9" s="6"/>
      <c r="BI9" s="6"/>
      <c r="BJ9" s="6"/>
    </row>
    <row r="10" spans="1:90" ht="76.5" customHeight="1" thickBot="1" x14ac:dyDescent="0.25">
      <c r="A10" s="11"/>
      <c r="B10" s="562"/>
      <c r="C10" s="565"/>
      <c r="D10" s="574"/>
      <c r="E10" s="577"/>
      <c r="F10" s="580"/>
      <c r="G10" s="540"/>
      <c r="H10" s="540"/>
      <c r="I10" s="540"/>
      <c r="J10" s="540"/>
      <c r="K10" s="540"/>
      <c r="L10" s="540"/>
      <c r="M10" s="540"/>
      <c r="N10" s="540"/>
      <c r="O10" s="540"/>
      <c r="P10" s="540"/>
      <c r="Q10" s="540"/>
      <c r="R10" s="540"/>
      <c r="S10" s="540"/>
      <c r="T10" s="540"/>
      <c r="U10" s="540"/>
      <c r="V10" s="540"/>
      <c r="W10" s="540"/>
      <c r="X10" s="540"/>
      <c r="Y10" s="540"/>
      <c r="Z10" s="540"/>
      <c r="AA10" s="540"/>
      <c r="AB10" s="541"/>
      <c r="AC10" s="571"/>
      <c r="AD10" s="568"/>
      <c r="AE10" s="550"/>
      <c r="AF10" s="553"/>
      <c r="AG10" s="556"/>
      <c r="AH10" s="559"/>
      <c r="AI10" s="559"/>
      <c r="AJ10" s="445"/>
      <c r="AK10" s="445"/>
      <c r="AL10" s="445"/>
      <c r="AM10" s="445"/>
      <c r="AN10" s="419"/>
      <c r="AO10" s="419"/>
      <c r="AP10" s="419"/>
      <c r="AQ10" s="419"/>
      <c r="AR10" s="419"/>
      <c r="AS10" s="419"/>
      <c r="AT10" s="419"/>
      <c r="AU10" s="419"/>
      <c r="AV10" s="419"/>
      <c r="AW10" s="419"/>
      <c r="AX10" s="419"/>
      <c r="AY10" s="419"/>
      <c r="AZ10" s="419"/>
      <c r="BA10" s="419"/>
      <c r="BB10" s="419"/>
      <c r="BC10" s="419"/>
      <c r="BD10" s="419"/>
      <c r="BE10" s="419"/>
      <c r="BF10" s="419"/>
      <c r="BG10" s="6"/>
      <c r="BH10" s="6"/>
      <c r="BI10" s="6"/>
      <c r="BJ10" s="6"/>
    </row>
    <row r="11" spans="1:90" ht="24.75" customHeight="1" thickBot="1" x14ac:dyDescent="0.25">
      <c r="A11" s="11"/>
      <c r="B11" s="563"/>
      <c r="C11" s="566"/>
      <c r="D11" s="575"/>
      <c r="E11" s="578"/>
      <c r="F11" s="454">
        <v>1</v>
      </c>
      <c r="G11" s="146">
        <v>2</v>
      </c>
      <c r="H11" s="145">
        <v>3</v>
      </c>
      <c r="I11" s="145">
        <v>4</v>
      </c>
      <c r="J11" s="145">
        <v>5</v>
      </c>
      <c r="K11" s="145">
        <v>6</v>
      </c>
      <c r="L11" s="145">
        <v>7</v>
      </c>
      <c r="M11" s="145">
        <v>8</v>
      </c>
      <c r="N11" s="455">
        <v>9</v>
      </c>
      <c r="O11" s="145">
        <v>10</v>
      </c>
      <c r="P11" s="145">
        <v>11</v>
      </c>
      <c r="Q11" s="145">
        <v>12</v>
      </c>
      <c r="R11" s="269">
        <v>13</v>
      </c>
      <c r="S11" s="145">
        <v>14</v>
      </c>
      <c r="T11" s="145">
        <v>15</v>
      </c>
      <c r="U11" s="145">
        <v>16</v>
      </c>
      <c r="V11" s="145">
        <v>17</v>
      </c>
      <c r="W11" s="145">
        <v>18</v>
      </c>
      <c r="X11" s="145"/>
      <c r="Y11" s="145">
        <v>19</v>
      </c>
      <c r="Z11" s="145"/>
      <c r="AA11" s="145">
        <v>20</v>
      </c>
      <c r="AB11" s="146">
        <v>21</v>
      </c>
      <c r="AC11" s="572"/>
      <c r="AD11" s="569"/>
      <c r="AE11" s="551"/>
      <c r="AF11" s="554"/>
      <c r="AG11" s="557"/>
      <c r="AH11" s="560"/>
      <c r="AI11" s="560"/>
      <c r="AJ11" s="445"/>
      <c r="AK11" s="445"/>
      <c r="AL11" s="445"/>
      <c r="AM11" s="445"/>
      <c r="AN11" s="419"/>
      <c r="AO11" s="419"/>
      <c r="AP11" s="419"/>
      <c r="AQ11" s="419"/>
      <c r="AR11" s="419"/>
      <c r="AS11" s="419"/>
      <c r="AT11" s="419"/>
      <c r="AU11" s="419"/>
      <c r="AV11" s="419"/>
      <c r="AW11" s="419"/>
      <c r="AX11" s="419"/>
      <c r="AY11" s="419"/>
      <c r="AZ11" s="419"/>
      <c r="BA11" s="419"/>
      <c r="BB11" s="419"/>
      <c r="BC11" s="419"/>
      <c r="BD11" s="419"/>
      <c r="BE11" s="419"/>
      <c r="BF11" s="419"/>
      <c r="BG11" s="6"/>
      <c r="BH11" s="6"/>
      <c r="BI11" s="6"/>
      <c r="BJ11" s="6"/>
    </row>
    <row r="12" spans="1:90" ht="24.75" hidden="1" customHeight="1" x14ac:dyDescent="0.2">
      <c r="A12" s="11"/>
      <c r="B12" s="387"/>
      <c r="C12" s="388"/>
      <c r="D12" s="389"/>
      <c r="E12" s="390"/>
      <c r="F12" s="391"/>
      <c r="G12" s="263"/>
      <c r="H12" s="263"/>
      <c r="I12" s="263"/>
      <c r="J12" s="263"/>
      <c r="K12" s="263"/>
      <c r="L12" s="263"/>
      <c r="M12" s="263"/>
      <c r="N12" s="263"/>
      <c r="O12" s="263"/>
      <c r="P12" s="263"/>
      <c r="Q12" s="263"/>
      <c r="R12" s="263"/>
      <c r="S12" s="263"/>
      <c r="T12" s="263"/>
      <c r="U12" s="263"/>
      <c r="V12" s="263"/>
      <c r="W12" s="263"/>
      <c r="X12" s="263"/>
      <c r="Y12" s="263"/>
      <c r="Z12" s="263"/>
      <c r="AA12" s="263"/>
      <c r="AB12" s="392"/>
      <c r="AC12" s="462"/>
      <c r="AD12" s="463"/>
      <c r="AE12" s="464"/>
      <c r="AF12" s="465"/>
      <c r="AG12" s="464"/>
      <c r="AH12" s="466"/>
      <c r="AI12" s="467"/>
      <c r="AJ12" s="445"/>
      <c r="AK12" s="445"/>
      <c r="AL12" s="445"/>
      <c r="AM12" s="445"/>
      <c r="AN12" s="419"/>
      <c r="AO12" s="419"/>
      <c r="AP12" s="419"/>
      <c r="AQ12" s="419"/>
      <c r="AR12" s="419"/>
      <c r="AS12" s="419"/>
      <c r="AT12" s="419"/>
      <c r="AU12" s="419"/>
      <c r="AV12" s="419"/>
      <c r="AW12" s="419"/>
      <c r="AX12" s="419"/>
      <c r="AY12" s="419"/>
      <c r="AZ12" s="419"/>
      <c r="BA12" s="419"/>
      <c r="BB12" s="419"/>
      <c r="BC12" s="419"/>
      <c r="BD12" s="419"/>
      <c r="BE12" s="419"/>
      <c r="BF12" s="419"/>
      <c r="BG12" s="6"/>
      <c r="BH12" s="6"/>
      <c r="BI12" s="6"/>
      <c r="BJ12" s="6"/>
    </row>
    <row r="13" spans="1:90" ht="24.75" hidden="1" customHeight="1" x14ac:dyDescent="0.2">
      <c r="A13" s="11"/>
      <c r="B13" s="259"/>
      <c r="C13" s="260"/>
      <c r="D13" s="261"/>
      <c r="E13" s="337"/>
      <c r="F13" s="339"/>
      <c r="G13" s="262"/>
      <c r="H13" s="262"/>
      <c r="I13" s="262"/>
      <c r="J13" s="262"/>
      <c r="K13" s="262"/>
      <c r="L13" s="262"/>
      <c r="M13" s="262"/>
      <c r="N13" s="262"/>
      <c r="O13" s="262"/>
      <c r="P13" s="262"/>
      <c r="Q13" s="262"/>
      <c r="R13" s="262"/>
      <c r="S13" s="262"/>
      <c r="T13" s="262"/>
      <c r="U13" s="262"/>
      <c r="V13" s="262"/>
      <c r="W13" s="262"/>
      <c r="X13" s="262">
        <v>2</v>
      </c>
      <c r="Y13" s="336">
        <f>COUNTIF(Y20:Y59,2)</f>
        <v>10</v>
      </c>
      <c r="Z13" s="262"/>
      <c r="AA13" s="262"/>
      <c r="AB13" s="340"/>
      <c r="AC13" s="338"/>
      <c r="AD13" s="314"/>
      <c r="AE13" s="308"/>
      <c r="AF13" s="311"/>
      <c r="AG13" s="308"/>
      <c r="AH13" s="305"/>
      <c r="AI13" s="265"/>
      <c r="AJ13" s="445"/>
      <c r="AK13" s="445"/>
      <c r="AL13" s="445"/>
      <c r="AM13" s="445"/>
      <c r="AN13" s="419"/>
      <c r="AO13" s="419"/>
      <c r="AP13" s="419"/>
      <c r="AQ13" s="419"/>
      <c r="AR13" s="419"/>
      <c r="AS13" s="419"/>
      <c r="AT13" s="419"/>
      <c r="AU13" s="419"/>
      <c r="AV13" s="419"/>
      <c r="AW13" s="419"/>
      <c r="AX13" s="419"/>
      <c r="AY13" s="419"/>
      <c r="AZ13" s="419"/>
      <c r="BA13" s="419"/>
      <c r="BB13" s="419"/>
      <c r="BC13" s="419"/>
      <c r="BD13" s="419"/>
      <c r="BE13" s="419"/>
      <c r="BF13" s="419"/>
      <c r="BG13" s="6"/>
      <c r="BH13" s="6"/>
      <c r="BI13" s="6"/>
      <c r="BJ13" s="6"/>
    </row>
    <row r="14" spans="1:90" ht="24.75" hidden="1" customHeight="1" x14ac:dyDescent="0.2">
      <c r="A14" s="11"/>
      <c r="B14" s="259"/>
      <c r="C14" s="260"/>
      <c r="D14" s="261"/>
      <c r="E14" s="337"/>
      <c r="F14" s="339"/>
      <c r="G14" s="262"/>
      <c r="H14" s="262"/>
      <c r="I14" s="262"/>
      <c r="J14" s="262"/>
      <c r="K14" s="262"/>
      <c r="L14" s="262"/>
      <c r="M14" s="262"/>
      <c r="N14" s="262"/>
      <c r="O14" s="262"/>
      <c r="P14" s="262"/>
      <c r="Q14" s="262"/>
      <c r="R14" s="262"/>
      <c r="S14" s="262"/>
      <c r="T14" s="262"/>
      <c r="U14" s="262"/>
      <c r="V14" s="262"/>
      <c r="W14" s="262"/>
      <c r="X14" s="262">
        <v>1.6</v>
      </c>
      <c r="Y14" s="336">
        <f>COUNTIF(Y20:Y59,1.6)</f>
        <v>0</v>
      </c>
      <c r="Z14" s="262">
        <v>2</v>
      </c>
      <c r="AA14" s="336">
        <f>COUNTIF(AA20:AA59,2)</f>
        <v>17</v>
      </c>
      <c r="AB14" s="336">
        <f>COUNTIF(AB20:AB59,2)</f>
        <v>10</v>
      </c>
      <c r="AC14" s="338"/>
      <c r="AD14" s="314"/>
      <c r="AE14" s="308"/>
      <c r="AF14" s="311"/>
      <c r="AG14" s="308"/>
      <c r="AH14" s="305"/>
      <c r="AI14" s="265"/>
      <c r="AJ14" s="445"/>
      <c r="AK14" s="445"/>
      <c r="AL14" s="445"/>
      <c r="AM14" s="445"/>
      <c r="AN14" s="419"/>
      <c r="AO14" s="419"/>
      <c r="AP14" s="419"/>
      <c r="AQ14" s="419"/>
      <c r="AR14" s="419"/>
      <c r="AS14" s="419"/>
      <c r="AT14" s="419"/>
      <c r="AU14" s="419"/>
      <c r="AV14" s="419"/>
      <c r="AW14" s="419"/>
      <c r="AX14" s="419"/>
      <c r="AY14" s="419"/>
      <c r="AZ14" s="419"/>
      <c r="BA14" s="419"/>
      <c r="BB14" s="419"/>
      <c r="BC14" s="419"/>
      <c r="BD14" s="419"/>
      <c r="BE14" s="419"/>
      <c r="BF14" s="419"/>
      <c r="BG14" s="6"/>
      <c r="BH14" s="6"/>
      <c r="BI14" s="6"/>
      <c r="BJ14" s="6"/>
    </row>
    <row r="15" spans="1:90" ht="24.75" hidden="1" customHeight="1" x14ac:dyDescent="0.2">
      <c r="A15" s="11"/>
      <c r="B15" s="256"/>
      <c r="C15" s="257"/>
      <c r="D15" s="258"/>
      <c r="E15" s="217">
        <v>3</v>
      </c>
      <c r="F15" s="218">
        <f>COUNTIF(F20:F59,"3")</f>
        <v>0</v>
      </c>
      <c r="G15" s="333">
        <f t="shared" ref="G15:W15" si="0">COUNTIF(G20:G59,"3")</f>
        <v>0</v>
      </c>
      <c r="H15" s="333">
        <f t="shared" si="0"/>
        <v>0</v>
      </c>
      <c r="I15" s="333">
        <f t="shared" si="0"/>
        <v>0</v>
      </c>
      <c r="J15" s="333">
        <f t="shared" si="0"/>
        <v>0</v>
      </c>
      <c r="K15" s="333">
        <f t="shared" si="0"/>
        <v>0</v>
      </c>
      <c r="L15" s="333">
        <f t="shared" si="0"/>
        <v>0</v>
      </c>
      <c r="M15" s="333">
        <f t="shared" si="0"/>
        <v>0</v>
      </c>
      <c r="N15" s="333">
        <f t="shared" si="0"/>
        <v>0</v>
      </c>
      <c r="O15" s="333">
        <f t="shared" si="0"/>
        <v>0</v>
      </c>
      <c r="P15" s="333">
        <f t="shared" si="0"/>
        <v>0</v>
      </c>
      <c r="Q15" s="333">
        <f t="shared" si="0"/>
        <v>0</v>
      </c>
      <c r="R15" s="333">
        <f t="shared" si="0"/>
        <v>0</v>
      </c>
      <c r="S15" s="333">
        <f t="shared" si="0"/>
        <v>0</v>
      </c>
      <c r="T15" s="333">
        <f t="shared" si="0"/>
        <v>0</v>
      </c>
      <c r="U15" s="333">
        <f t="shared" si="0"/>
        <v>0</v>
      </c>
      <c r="V15" s="333">
        <f t="shared" si="0"/>
        <v>0</v>
      </c>
      <c r="W15" s="333">
        <f t="shared" si="0"/>
        <v>0</v>
      </c>
      <c r="X15" s="334">
        <v>1.2</v>
      </c>
      <c r="Y15" s="333">
        <f>COUNTIF(Y20:Y59,1.2)</f>
        <v>4</v>
      </c>
      <c r="Z15" s="335">
        <v>1.5</v>
      </c>
      <c r="AA15" s="333">
        <f>COUNTIF(AA20:AA59,1.5)</f>
        <v>1</v>
      </c>
      <c r="AB15" s="333">
        <f>COUNTIF(AB20:AB59,1.5)</f>
        <v>2</v>
      </c>
      <c r="AC15" s="330"/>
      <c r="AD15" s="315"/>
      <c r="AE15" s="309"/>
      <c r="AF15" s="312"/>
      <c r="AG15" s="309"/>
      <c r="AH15" s="306"/>
      <c r="AI15" s="302">
        <f>COUNTIF(AI20:AI59,"ВЫСОКИЙ")</f>
        <v>5</v>
      </c>
      <c r="AJ15" s="445"/>
      <c r="AK15" s="445"/>
      <c r="AL15" s="445"/>
      <c r="AM15" s="445"/>
      <c r="AN15" s="419"/>
      <c r="AO15" s="419"/>
      <c r="AP15" s="419"/>
      <c r="AQ15" s="419"/>
      <c r="AR15" s="419"/>
      <c r="AS15" s="419"/>
      <c r="AT15" s="419"/>
      <c r="AU15" s="419"/>
      <c r="AV15" s="419"/>
      <c r="AW15" s="419"/>
      <c r="AX15" s="419"/>
      <c r="AY15" s="419"/>
      <c r="AZ15" s="419"/>
      <c r="BA15" s="419"/>
      <c r="BB15" s="419"/>
      <c r="BC15" s="419"/>
      <c r="BD15" s="419"/>
      <c r="BE15" s="419"/>
      <c r="BF15" s="419"/>
      <c r="BG15" s="6"/>
      <c r="BH15" s="6"/>
      <c r="BI15" s="6"/>
      <c r="BJ15" s="6"/>
    </row>
    <row r="16" spans="1:90" ht="24.75" hidden="1" customHeight="1" x14ac:dyDescent="0.2">
      <c r="A16" s="11"/>
      <c r="B16" s="215"/>
      <c r="C16" s="216"/>
      <c r="D16" s="217"/>
      <c r="E16" s="217">
        <v>2</v>
      </c>
      <c r="F16" s="218">
        <f t="shared" ref="F16" si="1">COUNTIF(F20:F59,"2")</f>
        <v>0</v>
      </c>
      <c r="G16" s="333">
        <f t="shared" ref="G16:W16" si="2">COUNTIF(G20:G59,"2")</f>
        <v>0</v>
      </c>
      <c r="H16" s="333">
        <f t="shared" si="2"/>
        <v>0</v>
      </c>
      <c r="I16" s="333">
        <f t="shared" si="2"/>
        <v>0</v>
      </c>
      <c r="J16" s="333">
        <f t="shared" si="2"/>
        <v>0</v>
      </c>
      <c r="K16" s="333">
        <f t="shared" si="2"/>
        <v>0</v>
      </c>
      <c r="L16" s="333">
        <f t="shared" si="2"/>
        <v>0</v>
      </c>
      <c r="M16" s="333">
        <f t="shared" si="2"/>
        <v>0</v>
      </c>
      <c r="N16" s="333">
        <f t="shared" si="2"/>
        <v>0</v>
      </c>
      <c r="O16" s="333">
        <f t="shared" si="2"/>
        <v>0</v>
      </c>
      <c r="P16" s="333">
        <f t="shared" si="2"/>
        <v>0</v>
      </c>
      <c r="Q16" s="333">
        <f t="shared" si="2"/>
        <v>0</v>
      </c>
      <c r="R16" s="333">
        <f t="shared" si="2"/>
        <v>0</v>
      </c>
      <c r="S16" s="333">
        <f t="shared" si="2"/>
        <v>0</v>
      </c>
      <c r="T16" s="333">
        <f t="shared" si="2"/>
        <v>0</v>
      </c>
      <c r="U16" s="333">
        <f t="shared" si="2"/>
        <v>0</v>
      </c>
      <c r="V16" s="333">
        <f t="shared" si="2"/>
        <v>0</v>
      </c>
      <c r="W16" s="333">
        <f t="shared" si="2"/>
        <v>0</v>
      </c>
      <c r="X16" s="334">
        <v>0.8</v>
      </c>
      <c r="Y16" s="333">
        <f>COUNTIF(Y20:Y59,0.8)</f>
        <v>7</v>
      </c>
      <c r="Z16" s="335">
        <v>1</v>
      </c>
      <c r="AA16" s="333">
        <f>COUNTIF(AA20:AA59,1)</f>
        <v>1</v>
      </c>
      <c r="AB16" s="333">
        <f>COUNTIF(AB20:AB59,1)</f>
        <v>0</v>
      </c>
      <c r="AC16" s="331"/>
      <c r="AD16" s="316"/>
      <c r="AE16" s="310"/>
      <c r="AF16" s="313"/>
      <c r="AG16" s="310"/>
      <c r="AH16" s="307"/>
      <c r="AI16" s="219">
        <f>COUNTIF(AI20:AI59,"ПОВЫШЕННЫЙ")</f>
        <v>8</v>
      </c>
      <c r="AJ16" s="445"/>
      <c r="AK16" s="445"/>
      <c r="AL16" s="445"/>
      <c r="AM16" s="445"/>
      <c r="AN16" s="419"/>
      <c r="AO16" s="419"/>
      <c r="AP16" s="419"/>
      <c r="AQ16" s="419"/>
      <c r="AR16" s="419"/>
      <c r="AS16" s="419"/>
      <c r="AT16" s="419"/>
      <c r="AU16" s="419"/>
      <c r="AV16" s="419"/>
      <c r="AW16" s="419"/>
      <c r="AX16" s="419"/>
      <c r="AY16" s="419"/>
      <c r="AZ16" s="419"/>
      <c r="BA16" s="419"/>
      <c r="BB16" s="419"/>
      <c r="BC16" s="419"/>
      <c r="BD16" s="419"/>
      <c r="BE16" s="419"/>
      <c r="BF16" s="419"/>
      <c r="BG16" s="6"/>
      <c r="BH16" s="6"/>
      <c r="BI16" s="6"/>
      <c r="BJ16" s="6"/>
    </row>
    <row r="17" spans="1:62" ht="24.75" hidden="1" customHeight="1" x14ac:dyDescent="0.2">
      <c r="A17" s="11"/>
      <c r="B17" s="215"/>
      <c r="C17" s="216"/>
      <c r="D17" s="217"/>
      <c r="E17" s="217">
        <v>1</v>
      </c>
      <c r="F17" s="218">
        <f>COUNTIF(F20:F59,"1")</f>
        <v>28</v>
      </c>
      <c r="G17" s="333">
        <f t="shared" ref="G17:W17" si="3">COUNTIF(G20:G59,"1")</f>
        <v>31</v>
      </c>
      <c r="H17" s="333">
        <f t="shared" si="3"/>
        <v>31</v>
      </c>
      <c r="I17" s="333">
        <f t="shared" si="3"/>
        <v>33</v>
      </c>
      <c r="J17" s="333">
        <f t="shared" si="3"/>
        <v>27</v>
      </c>
      <c r="K17" s="333">
        <f t="shared" si="3"/>
        <v>28</v>
      </c>
      <c r="L17" s="333">
        <f t="shared" si="3"/>
        <v>32</v>
      </c>
      <c r="M17" s="333">
        <f t="shared" si="3"/>
        <v>28</v>
      </c>
      <c r="N17" s="333">
        <f t="shared" si="3"/>
        <v>15</v>
      </c>
      <c r="O17" s="333">
        <f t="shared" si="3"/>
        <v>30</v>
      </c>
      <c r="P17" s="333">
        <f t="shared" si="3"/>
        <v>21</v>
      </c>
      <c r="Q17" s="333">
        <f t="shared" si="3"/>
        <v>25</v>
      </c>
      <c r="R17" s="333">
        <f t="shared" si="3"/>
        <v>28</v>
      </c>
      <c r="S17" s="333">
        <f t="shared" si="3"/>
        <v>25</v>
      </c>
      <c r="T17" s="333">
        <f t="shared" si="3"/>
        <v>0</v>
      </c>
      <c r="U17" s="333">
        <f t="shared" si="3"/>
        <v>26</v>
      </c>
      <c r="V17" s="333">
        <f t="shared" si="3"/>
        <v>33</v>
      </c>
      <c r="W17" s="333">
        <f t="shared" si="3"/>
        <v>32</v>
      </c>
      <c r="X17" s="334">
        <v>0.4</v>
      </c>
      <c r="Y17" s="333">
        <f>COUNTIF(Y20:Y59,0.4)</f>
        <v>5</v>
      </c>
      <c r="Z17" s="335">
        <v>0.5</v>
      </c>
      <c r="AA17" s="333">
        <f>COUNTIF(AA20:AA59,0.5)</f>
        <v>0</v>
      </c>
      <c r="AB17" s="333">
        <f>COUNTIF(AB20:AB59,0.5)</f>
        <v>0</v>
      </c>
      <c r="AC17" s="331"/>
      <c r="AD17" s="316"/>
      <c r="AE17" s="310"/>
      <c r="AF17" s="313"/>
      <c r="AG17" s="310"/>
      <c r="AH17" s="307"/>
      <c r="AI17" s="219">
        <f>COUNTIF(AI20:AI59,"БАЗОВЫЙ")</f>
        <v>20</v>
      </c>
      <c r="AJ17" s="445"/>
      <c r="AK17" s="445"/>
      <c r="AL17" s="445"/>
      <c r="AM17" s="445"/>
      <c r="AN17" s="419"/>
      <c r="AO17" s="419"/>
      <c r="AP17" s="419"/>
      <c r="AQ17" s="419"/>
      <c r="AR17" s="419"/>
      <c r="AS17" s="419"/>
      <c r="AT17" s="419"/>
      <c r="AU17" s="419"/>
      <c r="AV17" s="419"/>
      <c r="AW17" s="419"/>
      <c r="AX17" s="419"/>
      <c r="AY17" s="419"/>
      <c r="AZ17" s="419"/>
      <c r="BA17" s="419"/>
      <c r="BB17" s="419"/>
      <c r="BC17" s="419"/>
      <c r="BD17" s="419"/>
      <c r="BE17" s="419"/>
      <c r="BF17" s="419"/>
      <c r="BG17" s="6"/>
      <c r="BH17" s="6"/>
      <c r="BI17" s="6"/>
      <c r="BJ17" s="6"/>
    </row>
    <row r="18" spans="1:62" ht="24.75" hidden="1" customHeight="1" x14ac:dyDescent="0.2">
      <c r="A18" s="11"/>
      <c r="B18" s="215"/>
      <c r="C18" s="216"/>
      <c r="D18" s="217"/>
      <c r="E18" s="217">
        <v>0</v>
      </c>
      <c r="F18" s="218">
        <f>COUNTIF(F20:F59,"0")</f>
        <v>5</v>
      </c>
      <c r="G18" s="333">
        <f t="shared" ref="G18:W18" si="4">COUNTIF(G20:G59,"0")</f>
        <v>3</v>
      </c>
      <c r="H18" s="333">
        <f t="shared" si="4"/>
        <v>3</v>
      </c>
      <c r="I18" s="333">
        <f t="shared" si="4"/>
        <v>1</v>
      </c>
      <c r="J18" s="333">
        <f t="shared" si="4"/>
        <v>7</v>
      </c>
      <c r="K18" s="333">
        <f t="shared" si="4"/>
        <v>6</v>
      </c>
      <c r="L18" s="333">
        <f t="shared" si="4"/>
        <v>2</v>
      </c>
      <c r="M18" s="333">
        <f t="shared" si="4"/>
        <v>4</v>
      </c>
      <c r="N18" s="333">
        <f t="shared" si="4"/>
        <v>18</v>
      </c>
      <c r="O18" s="333">
        <f t="shared" si="4"/>
        <v>4</v>
      </c>
      <c r="P18" s="333">
        <f t="shared" si="4"/>
        <v>12</v>
      </c>
      <c r="Q18" s="333">
        <f t="shared" si="4"/>
        <v>8</v>
      </c>
      <c r="R18" s="333">
        <f t="shared" si="4"/>
        <v>3</v>
      </c>
      <c r="S18" s="333">
        <f t="shared" si="4"/>
        <v>4</v>
      </c>
      <c r="T18" s="333">
        <f t="shared" si="4"/>
        <v>33</v>
      </c>
      <c r="U18" s="333">
        <f t="shared" si="4"/>
        <v>6</v>
      </c>
      <c r="V18" s="333">
        <f t="shared" si="4"/>
        <v>0</v>
      </c>
      <c r="W18" s="333">
        <f t="shared" si="4"/>
        <v>1</v>
      </c>
      <c r="X18" s="334">
        <v>0</v>
      </c>
      <c r="Y18" s="333">
        <f>COUNTIF(Y20:Y59,0)</f>
        <v>0</v>
      </c>
      <c r="Z18" s="334">
        <v>0</v>
      </c>
      <c r="AA18" s="333">
        <f>COUNTIF(AA20:AA59,"0")</f>
        <v>0</v>
      </c>
      <c r="AB18" s="333">
        <f>COUNTIF(AB20:AB59,"0")</f>
        <v>0</v>
      </c>
      <c r="AC18" s="341">
        <f>AC19/'Ответы учащихся'!E7</f>
        <v>16.614705882352936</v>
      </c>
      <c r="AD18" s="316"/>
      <c r="AE18" s="310"/>
      <c r="AF18" s="313"/>
      <c r="AG18" s="310"/>
      <c r="AH18" s="307"/>
      <c r="AI18" s="219">
        <f>COUNTIF(AI20:AI59,"НЕДОСТАТОЧНЫЙ")</f>
        <v>1</v>
      </c>
      <c r="AJ18" s="445"/>
      <c r="AK18" s="445"/>
      <c r="AL18" s="445"/>
      <c r="AM18" s="445"/>
      <c r="AN18" s="419"/>
      <c r="AO18" s="419"/>
      <c r="AP18" s="419"/>
      <c r="AQ18" s="419"/>
      <c r="AR18" s="419"/>
      <c r="AS18" s="419"/>
      <c r="AT18" s="419"/>
      <c r="AU18" s="419"/>
      <c r="AV18" s="419"/>
      <c r="AW18" s="419"/>
      <c r="AX18" s="419"/>
      <c r="AY18" s="419"/>
      <c r="AZ18" s="419"/>
      <c r="BA18" s="419"/>
      <c r="BB18" s="419"/>
      <c r="BC18" s="419"/>
      <c r="BD18" s="419"/>
      <c r="BE18" s="419"/>
      <c r="BF18" s="419"/>
      <c r="BG18" s="6"/>
      <c r="BH18" s="6"/>
      <c r="BI18" s="6"/>
      <c r="BJ18" s="6"/>
    </row>
    <row r="19" spans="1:62" ht="32.25" hidden="1" customHeight="1" thickBot="1" x14ac:dyDescent="0.25">
      <c r="A19" s="11">
        <f>SUM(A20:A59)</f>
        <v>34</v>
      </c>
      <c r="B19" s="220" t="s">
        <v>2</v>
      </c>
      <c r="C19" s="221" t="s">
        <v>24</v>
      </c>
      <c r="D19" s="222" t="s">
        <v>23</v>
      </c>
      <c r="E19" s="457" t="s">
        <v>132</v>
      </c>
      <c r="F19" s="223">
        <f>COUNTIF(F20:F59,"N")</f>
        <v>1</v>
      </c>
      <c r="G19" s="393">
        <f t="shared" ref="G19:Y19" si="5">COUNTIF(G20:G59,"N")</f>
        <v>0</v>
      </c>
      <c r="H19" s="393">
        <f t="shared" si="5"/>
        <v>0</v>
      </c>
      <c r="I19" s="393">
        <f t="shared" si="5"/>
        <v>0</v>
      </c>
      <c r="J19" s="393">
        <f t="shared" si="5"/>
        <v>0</v>
      </c>
      <c r="K19" s="393">
        <f t="shared" si="5"/>
        <v>0</v>
      </c>
      <c r="L19" s="393">
        <f t="shared" si="5"/>
        <v>0</v>
      </c>
      <c r="M19" s="393">
        <f t="shared" si="5"/>
        <v>2</v>
      </c>
      <c r="N19" s="393">
        <f t="shared" si="5"/>
        <v>1</v>
      </c>
      <c r="O19" s="393">
        <f t="shared" si="5"/>
        <v>0</v>
      </c>
      <c r="P19" s="393">
        <f t="shared" si="5"/>
        <v>1</v>
      </c>
      <c r="Q19" s="393">
        <f t="shared" si="5"/>
        <v>1</v>
      </c>
      <c r="R19" s="393">
        <f t="shared" si="5"/>
        <v>3</v>
      </c>
      <c r="S19" s="393">
        <f t="shared" si="5"/>
        <v>5</v>
      </c>
      <c r="T19" s="393">
        <f t="shared" si="5"/>
        <v>1</v>
      </c>
      <c r="U19" s="393">
        <f t="shared" si="5"/>
        <v>2</v>
      </c>
      <c r="V19" s="393">
        <f t="shared" si="5"/>
        <v>1</v>
      </c>
      <c r="W19" s="393">
        <f t="shared" si="5"/>
        <v>1</v>
      </c>
      <c r="X19" s="394" t="s">
        <v>132</v>
      </c>
      <c r="Y19" s="393">
        <f t="shared" si="5"/>
        <v>8</v>
      </c>
      <c r="Z19" s="394" t="s">
        <v>132</v>
      </c>
      <c r="AA19" s="393">
        <f>COUNTIF(AA20:AA59,"N")</f>
        <v>15</v>
      </c>
      <c r="AB19" s="393">
        <f>COUNTIF(AB20:AB59,"N")</f>
        <v>22</v>
      </c>
      <c r="AC19" s="332">
        <f>SUM(AC20:AC59)</f>
        <v>564.89999999999986</v>
      </c>
      <c r="AD19" s="323">
        <f>IF(AND(OR($C19&lt;&gt;"",$D19&lt;&gt;""),$A19&lt;&gt;"",$AI$2="ДА"),AC19/24/'Ответы учащихся'!E7,"")</f>
        <v>0.69227941176470575</v>
      </c>
      <c r="AE19" s="324">
        <f>SUM(AE20:AE59)</f>
        <v>473</v>
      </c>
      <c r="AF19" s="325">
        <f>AE19/18/'Ответы учащихся'!E7*100</f>
        <v>77.287581699346404</v>
      </c>
      <c r="AG19" s="324">
        <f>SUM(AG20:AG59)</f>
        <v>91.899999999999991</v>
      </c>
      <c r="AH19" s="342">
        <f>AG19/6/'Ответы учащихся'!E7*100</f>
        <v>45.049019607843135</v>
      </c>
      <c r="AI19" s="219">
        <f>COUNTIF(AI20:AI59,"НИЗКИЙ")</f>
        <v>0</v>
      </c>
      <c r="AJ19" s="445"/>
      <c r="AK19" s="445"/>
      <c r="AL19" s="445"/>
      <c r="AM19" s="445"/>
      <c r="AN19" s="441" t="s">
        <v>219</v>
      </c>
      <c r="AO19" s="430" t="s">
        <v>220</v>
      </c>
      <c r="AP19" s="430" t="s">
        <v>221</v>
      </c>
      <c r="AQ19" s="430" t="s">
        <v>222</v>
      </c>
      <c r="AR19" s="430" t="s">
        <v>223</v>
      </c>
      <c r="AS19" s="431" t="s">
        <v>224</v>
      </c>
      <c r="AT19" s="431" t="s">
        <v>225</v>
      </c>
      <c r="AU19" s="431" t="s">
        <v>226</v>
      </c>
      <c r="AV19" s="431" t="s">
        <v>227</v>
      </c>
      <c r="AW19" s="432" t="s">
        <v>228</v>
      </c>
      <c r="AX19" s="432" t="s">
        <v>229</v>
      </c>
      <c r="AY19" s="432" t="s">
        <v>230</v>
      </c>
      <c r="AZ19" s="432" t="s">
        <v>231</v>
      </c>
      <c r="BA19" s="433">
        <v>1</v>
      </c>
      <c r="BB19" s="433">
        <v>2</v>
      </c>
      <c r="BC19" s="433">
        <v>3</v>
      </c>
      <c r="BD19" s="433">
        <v>4</v>
      </c>
      <c r="BE19" s="419"/>
      <c r="BF19" s="419"/>
      <c r="BG19" s="6"/>
      <c r="BH19" s="6"/>
      <c r="BI19" s="6"/>
      <c r="BJ19" s="6"/>
    </row>
    <row r="20" spans="1:62" ht="15" customHeight="1" x14ac:dyDescent="0.2">
      <c r="A20" s="147">
        <f>IF('СПИСОК КЛАССА'!J20&gt;0,1,0)</f>
        <v>1</v>
      </c>
      <c r="B20" s="148">
        <v>1</v>
      </c>
      <c r="C20" s="149">
        <f>IF(NOT(ISBLANK('СПИСОК КЛАССА'!C20)),'СПИСОК КЛАССА'!C20,"")</f>
        <v>1</v>
      </c>
      <c r="D20" s="154" t="str">
        <f>IF(NOT(ISBLANK('СПИСОК КЛАССА'!D20)),IF($A20=1,'СПИСОК КЛАССА'!D20, "УЧЕНИК НЕ ВЫПОЛНЯЛ РАБОТУ"),"")</f>
        <v/>
      </c>
      <c r="E20" s="458">
        <f>IF($C20&lt;&gt;"",'СПИСОК КЛАССА'!J20,"")</f>
        <v>4</v>
      </c>
      <c r="F20" s="140">
        <f>IF(AND(OR($C20&lt;&gt;"",$D20&lt;&gt;""),$A20=1,$AI$2="ДА"),'Ответы учащихся'!E20,"")</f>
        <v>0</v>
      </c>
      <c r="G20" s="150">
        <f>IF(AND(OR($C20&lt;&gt;"",$D20&lt;&gt;""),$A20=1,$AI$2="ДА"),(IF($A20=1,IF(OR(AND($E20=1,'Ответы учащихся'!F20=2),AND($E20=2,'Ответы учащихся'!F20=4),AND($E20=3,OR('Ответы учащихся'!F20=3,'Ответы учащихся'!F20=4)),AND($E20=4,'Ответы учащихся'!F20=1)),1,IF('Ответы учащихся'!F20="N",'Ответы учащихся'!F20,0)),"")),"")</f>
        <v>1</v>
      </c>
      <c r="H20" s="150">
        <f>IF(AND(OR($C20&lt;&gt;"",$D20&lt;&gt;""),$A20=1,$AI$2="ДА"),(IF($A20=1,IF(OR(AND($E20=1,'Ответы учащихся'!G20=1),AND($E20=2,'Ответы учащихся'!G20=3),AND($E20=3,'Ответы учащихся'!G20=3),AND($E20=4,'Ответы учащихся'!G20=3)),1,IF('Ответы учащихся'!G20="N",'Ответы учащихся'!G20,0)),"")),"")</f>
        <v>1</v>
      </c>
      <c r="I20" s="150">
        <f>IF(AND(OR($C20&lt;&gt;"",$D20&lt;&gt;""),$A20=1,$AI$2="ДА"),(IF($A20=1,IF(OR(AND($E20=1,'Ответы учащихся'!H20=-6),AND($E20=2,'Ответы учащихся'!H20=3),AND($E20=3,'Ответы учащихся'!H20=-8),AND($E20=4,'Ответы учащихся'!H20=-6)),1,IF('Ответы учащихся'!H20="N",'Ответы учащихся'!H20,0)),"")),"")</f>
        <v>0</v>
      </c>
      <c r="J20" s="150">
        <f>IF(AND(OR($C20&lt;&gt;"",$D20&lt;&gt;""),$A20=1,$AI$2="ДА"),(IF($A20=1,IF(OR(AND($E20=1,'Ответы учащихся'!I20=3412),AND($E20=2,'Ответы учащихся'!I20=2314),AND($E20=3,'Ответы учащихся'!I20=3142),AND($E20=4,'Ответы учащихся'!I20=1234)),1,IF('Ответы учащихся'!I20="N",'Ответы учащихся'!I20,0)),"")),"")</f>
        <v>1</v>
      </c>
      <c r="K20" s="150">
        <f>IF(AND(OR($C20&lt;&gt;"",$D20&lt;&gt;""),$A20=1,$AI$2="ДА"),(IF($A20=1,IF(OR(AND($E20=1,'Ответы учащихся'!J20=390),AND($E20=2,'Ответы учащихся'!J20=273),AND($E20=3,'Ответы учащихся'!J20=205),AND($E20=4,'Ответы учащихся'!J20=240)),1,IF('Ответы учащихся'!J20="N",'Ответы учащихся'!J20,0)),"")),"")</f>
        <v>1</v>
      </c>
      <c r="L20" s="150">
        <f>IF(AND(OR($C20&lt;&gt;"",$D20&lt;&gt;""),$A20=1,$AI$2="ДА"),(IF($A20=1,IF(OR(AND($E20=1,'Ответы учащихся'!K20=1),AND($E20=2,'Ответы учащихся'!K20=2),AND($E20=3,'Ответы учащихся'!K20=4),AND($E20=4,'Ответы учащихся'!K20=3)),1,IF('Ответы учащихся'!K20="N",'Ответы учащихся'!K20,0)),"")),"")</f>
        <v>1</v>
      </c>
      <c r="M20" s="150">
        <f>IF(AND(OR($C20&lt;&gt;"",$D20&lt;&gt;""),$A20=1,$AI$2="ДА"),(IF($A20=1,IF(OR(AND($E20=1,'Ответы учащихся'!L20=3),AND($E20=2,'Ответы учащихся'!L20=1),AND($E20=3,'Ответы учащихся'!L20=4),AND($E20=4,'Ответы учащихся'!L20=2)),1,IF('Ответы учащихся'!L20="N",'Ответы учащихся'!L20,0)),"")),"")</f>
        <v>1</v>
      </c>
      <c r="N20" s="150">
        <f>IF(AND(OR($C20&lt;&gt;"",$D20&lt;&gt;""),$A20=1,$AI$2="ДА"),'Ответы учащихся'!M20,"")</f>
        <v>0</v>
      </c>
      <c r="O20" s="150">
        <f>IF(AND(OR($C20&lt;&gt;"",$D20&lt;&gt;""),$A20=1,$AI$2="ДА"),(IF($A20=1,IF(OR(AND($E20=1,'Ответы учащихся'!N20=3),AND($E20=2,'Ответы учащихся'!N20=2),AND($E20=3,'Ответы учащихся'!N20=4),AND($E20=4,'Ответы учащихся'!N20=1)),1,IF('Ответы учащихся'!N20="N",'Ответы учащихся'!N20,0)),"")),"")</f>
        <v>1</v>
      </c>
      <c r="P20" s="150">
        <f>IF(AND(OR($C20&lt;&gt;"",$D20&lt;&gt;""),$A20=1,$AI$2="ДА"),(IF($A20=1,IF(OR(AND($E20=1,'Ответы учащихся'!O20="БВ"),AND($E20=2,'Ответы учащихся'!O20="АВГ"),AND($E20=3,'Ответы учащихся'!O20="БВГ"),AND($E20=4,'Ответы учащихся'!O20="АВ")),1,IF('Ответы учащихся'!O20="N",'Ответы учащихся'!O20,0)),"")),"")</f>
        <v>1</v>
      </c>
      <c r="Q20" s="150">
        <f>IF(AND(OR($C20&lt;&gt;"",$D20&lt;&gt;""),$A20=1,$AI$2="ДА"),(IF($A20=1,IF(OR(AND($E20=1,'Ответы учащихся'!P20=2351),AND($E20=2,'Ответы учащихся'!P20=4132),AND($E20=3,'Ответы учащихся'!P20=3412),AND($E20=4,'Ответы учащихся'!P20=3125)),1,IF('Ответы учащихся'!P20="N",'Ответы учащихся'!P20,0)),"")),"")</f>
        <v>1</v>
      </c>
      <c r="R20" s="150">
        <f>IF(AND(OR($C20&lt;&gt;"",$D20&lt;&gt;""),$A20=1,$AI$2="ДА"),(IF($A20=1,IF(OR(AND($E20=1,'Ответы учащихся'!Q20=2),AND($E20=2,'Ответы учащихся'!Q20=9),AND($E20=3,'Ответы учащихся'!Q20=5),AND($E20=4,'Ответы учащихся'!Q20=2)),1,IF('Ответы учащихся'!Q20="N",'Ответы учащихся'!Q20,0)),"")),"")</f>
        <v>1</v>
      </c>
      <c r="S20" s="150">
        <f>IF(AND(OR($C20&lt;&gt;"",$D20&lt;&gt;""),$A20=1,$AI$2="ДА"),(IF($A20=1,IF(OR(AND($E20=1,'Ответы учащихся'!R20=35),AND($E20=2,'Ответы учащихся'!R20=74),AND($E20=3,'Ответы учащихся'!R20=72),AND($E20=4,'Ответы учащихся'!R20=66)),1,IF('Ответы учащихся'!R20="N",'Ответы учащихся'!R20,0)),"")),"")</f>
        <v>1</v>
      </c>
      <c r="T20" s="150">
        <f>IF(AND(OR($C20&lt;&gt;"",$D20&lt;&gt;""),$A20=1,$AI$2="ДА"),(IF($A20=1,IF(OR(AND($E20=1,'Ответы учащихся'!S20=60),AND($E20=2,'Ответы учащихся'!S20=40),AND($E20=3,'Ответы учащихся'!S20=30),AND($E20=4,'Ответы учащихся'!S20=18)),1,IF('Ответы учащихся'!S20="N",'Ответы учащихся'!S20,0)),"")),"")</f>
        <v>0</v>
      </c>
      <c r="U20" s="150">
        <f>IF(AND(OR($C20&lt;&gt;"",$D20&lt;&gt;""),$A20=1,$AI$2="ДА"),(IF($A20=1,IF(OR(AND($E20=1,'Ответы учащихся'!T20=3),AND($E20=2,'Ответы учащихся'!T20=4),AND($E20=3,'Ответы учащихся'!T20=2),AND($E20=4,'Ответы учащихся'!T20=3)),1,IF('Ответы учащихся'!T20="N",'Ответы учащихся'!T20,0)),"")),"")</f>
        <v>1</v>
      </c>
      <c r="V20" s="150">
        <f>IF(AND(OR($C20&lt;&gt;"",$D20&lt;&gt;""),$A20=1,$AI$2="ДА"),(IF($A20=1,IF(OR(AND($E20=1,'Ответы учащихся'!U20=11),AND($E20=2,'Ответы учащихся'!U20=14),AND($E20=3,'Ответы учащихся'!U20=-2),AND($E20=4,'Ответы учащихся'!U20=25)),1,IF('Ответы учащихся'!U20="N",'Ответы учащихся'!U20,0)),"")),"")</f>
        <v>1</v>
      </c>
      <c r="W20" s="150">
        <f>IF(AND(OR($C20&lt;&gt;"",$D20&lt;&gt;""),$A20=1,$AI$2="ДА"),(IF($A20=1,IF(OR(AND($E20=1,'Ответы учащихся'!V20=3000),AND($E20=2,'Ответы учащихся'!V20=2500),AND($E20=3,'Ответы учащихся'!V20=1500),AND($E20=4,'Ответы учащихся'!V20=1500)),1,IF('Ответы учащихся'!V20="N",'Ответы учащихся'!V20,0)),"")),"")</f>
        <v>1</v>
      </c>
      <c r="X20" s="150"/>
      <c r="Y20" s="150">
        <f>IF(AND(OR($C20&lt;&gt;"",$D20&lt;&gt;""),$A20=1,$AI$2="ДА"),(IF($A20=1,IF(AND('Ответы учащихся'!$W20&lt;&gt;"N",'Ответы учащихся'!$X20&lt;&gt;"N",'Ответы учащихся'!$Y20&lt;&gt;"N",'Ответы учащихся'!$Z20&lt;&gt;"N",'Ответы учащихся'!$AA20&lt;&gt;"N"),(SUM('Ответы учащихся'!$W20:$AA20)),"N"),"")),"")</f>
        <v>2</v>
      </c>
      <c r="Z20" s="150"/>
      <c r="AA20" s="150" t="str">
        <f>IF(AND(OR($C20&lt;&gt;"",$D20&lt;&gt;""),$A20=1,$AI$2="ДА"),(IF($A20=1,IF(AND('Ответы учащихся'!$AB20&lt;&gt;"N",'Ответы учащихся'!$AC20&lt;&gt;"N",'Ответы учащихся'!$AD20&lt;&gt;"N",'Ответы учащихся'!$AE20&lt;&gt;"N"),(SUM('Ответы учащихся'!$AB20:$AE20)),"N"),"")),"")</f>
        <v>N</v>
      </c>
      <c r="AB20" s="141">
        <f>IF(AND(OR($C20&lt;&gt;"",$D20&lt;&gt;""),$A20=1,$AI$2="ДА"),(IF($A20=1,IF(AND('Ответы учащихся'!$AF20&lt;&gt;"N",'Ответы учащихся'!$AG20&lt;&gt;"N",'Ответы учащихся'!$AH20&lt;&gt;"N",'Ответы учащихся'!$AI20&lt;&gt;"N"),(SUM('Ответы учащихся'!$AF20:$AI20)),"N"),"")),"")</f>
        <v>1.5</v>
      </c>
      <c r="AC20" s="468">
        <f>IF(AND(OR($C20&lt;&gt;"",$D20&lt;&gt;""),$A20=1,$AI$2="ДА"),(SUM(F20:AB20)),"")</f>
        <v>17.5</v>
      </c>
      <c r="AD20" s="326">
        <f>IF(AND(OR($C20&lt;&gt;"",$D20&lt;&gt;""),$A20=1,$AI$2="ДА"),AC20/24,"")</f>
        <v>0.72916666666666663</v>
      </c>
      <c r="AE20" s="327">
        <f>IF(AND(OR($C20&lt;&gt;"",$D20&lt;&gt;""),$A20=1,$AI$2="ДА"),(SUM(F20:W20)),"")</f>
        <v>14</v>
      </c>
      <c r="AF20" s="328">
        <f>IF(AND(OR($C20&lt;&gt;"",$D20&lt;&gt;""),$A20=1,$AI$2="ДА"),AE20/18*100,"")</f>
        <v>77.777777777777786</v>
      </c>
      <c r="AG20" s="327">
        <f>IF(AND(OR($C20&lt;&gt;"",$D20&lt;&gt;""),$A20=1,$AI$2="ДА"),(IF(Y20&lt;&gt;"N",Y20)+IF(AA20&lt;&gt;"N",AA20)+IF(AB20&lt;&gt;"N",AB20)),"")</f>
        <v>3.5</v>
      </c>
      <c r="AH20" s="329">
        <f>IF(AND(OR($C20&lt;&gt;"",$D20&lt;&gt;""),$A20=1,$AI$2="ДА"),AG20/6*100,"")</f>
        <v>58.333333333333336</v>
      </c>
      <c r="AI20" s="456" t="str">
        <f>IF(AND(OR($C20&lt;&gt;"",$D20&lt;&gt;""),$A20=1,$AI$2="ДА"),(IF(AC20&lt;=5,"НИЗКИЙ",(IF(AND(AC20&gt;=6,AC20&lt;9),"НЕДОСТАТОЧНЫЙ",
(IF(AND(AC20&gt;=9,AC20&lt;18),"БАЗОВЫЙ",(IF(AND(AC20&gt;=18,AC20&lt;=20),"ПОВЫШЕННЫЙ","ВЫСОКИЙ")))))))),"")</f>
        <v>БАЗОВЫЙ</v>
      </c>
      <c r="AJ20" s="446">
        <f>$AC$18</f>
        <v>16.614705882352936</v>
      </c>
      <c r="AK20" s="447">
        <f>$AD$19</f>
        <v>0.69227941176470575</v>
      </c>
      <c r="AL20" s="445">
        <v>9</v>
      </c>
      <c r="AM20" s="446">
        <f>$AF$19</f>
        <v>77.287581699346404</v>
      </c>
      <c r="AN20" s="442">
        <f>IF($A20=1,IF(OR(AND($E20=1,'Ответы учащихся'!W20=0.4),AND($E20=2,'Ответы учащихся'!W20=0.4),AND($E20=3,'Ответы учащихся'!W20=0.4),AND($E20=4,'Ответы учащихся'!W20=0.4)),1,IF('Ответы учащихся'!W20="N",'Ответы учащихся'!W20,0)),"")</f>
        <v>1</v>
      </c>
      <c r="AO20" s="434">
        <f>IF($A20=1,IF(OR(AND($E20=1,'Ответы учащихся'!X20=0.4),AND($E20=2,'Ответы учащихся'!X20=0.4),AND($E20=3,'Ответы учащихся'!X20=0.4),AND($E20=4,'Ответы учащихся'!X20=0.4)),1,IF('Ответы учащихся'!X20="N",'Ответы учащихся'!X20,0)),"")</f>
        <v>1</v>
      </c>
      <c r="AP20" s="434">
        <f>IF($A20=1,IF(OR(AND($E20=1,'Ответы учащихся'!Y20=0.4),AND($E20=2,'Ответы учащихся'!Y20=0.4),AND($E20=3,'Ответы учащихся'!Y20=0.4),AND($E20=4,'Ответы учащихся'!Y20=0.4)),1,IF('Ответы учащихся'!Y20="N",'Ответы учащихся'!Y20,0)),"")</f>
        <v>1</v>
      </c>
      <c r="AQ20" s="434">
        <f>IF($A20=1,IF(OR(AND($E20=1,'Ответы учащихся'!Z20=0.4),AND($E20=2,'Ответы учащихся'!Z20=0.4),AND($E20=3,'Ответы учащихся'!Z20=0.4),AND($E20=4,'Ответы учащихся'!Z20=0.4)),1,IF('Ответы учащихся'!Z20="N",'Ответы учащихся'!Z20,0)),"")</f>
        <v>1</v>
      </c>
      <c r="AR20" s="434">
        <f>IF($A20=1,IF(OR(AND($E20=1,'Ответы учащихся'!AA20=0.4),AND($E20=2,'Ответы учащихся'!AA20=0.4),AND($E20=3,'Ответы учащихся'!AA20=0.4),AND($E20=4,'Ответы учащихся'!AA20=0.4)),1,IF('Ответы учащихся'!AA20="N",'Ответы учащихся'!AA20,0)),"")</f>
        <v>1</v>
      </c>
      <c r="AS20" s="435" t="str">
        <f>IF($A20=1,IF(OR(AND($E20=1,'Ответы учащихся'!AB20=0.5),AND($E20=2,'Ответы учащихся'!AB20=0.5),AND($E20=3,'Ответы учащихся'!AB20=0.5),AND($E20=4,'Ответы учащихся'!AB20=0.5)),1,IF('Ответы учащихся'!AB20="N",'Ответы учащихся'!AB20,0)),"")</f>
        <v>N</v>
      </c>
      <c r="AT20" s="435" t="str">
        <f>IF($A20=1,IF(OR(AND($E20=1,'Ответы учащихся'!AC20=0.5),AND($E20=2,'Ответы учащихся'!AC20=0.5),AND($E20=3,'Ответы учащихся'!AC20=0.5),AND($E20=4,'Ответы учащихся'!AC20=0.5)),1,IF('Ответы учащихся'!AC20="N",'Ответы учащихся'!AC20,0)),"")</f>
        <v>N</v>
      </c>
      <c r="AU20" s="435" t="str">
        <f>IF($A20=1,IF(OR(AND($E20=1,'Ответы учащихся'!AD20=0.5),AND($E20=2,'Ответы учащихся'!AD20=0.5),AND($E20=3,'Ответы учащихся'!AD20=0.5),AND($E20=4,'Ответы учащихся'!AD20=0.5)),1,IF('Ответы учащихся'!AD20="N",'Ответы учащихся'!AD20,0)),"")</f>
        <v>N</v>
      </c>
      <c r="AV20" s="435" t="str">
        <f>IF($A20=1,IF(OR(AND($E20=1,'Ответы учащихся'!AE20=0.5),AND($E20=2,'Ответы учащихся'!AE20=0.5),AND($E20=3,'Ответы учащихся'!AE20=0.5),AND($E20=4,'Ответы учащихся'!AE20=0.5)),1,IF('Ответы учащихся'!AE20="N",'Ответы учащихся'!AE20,0)),"")</f>
        <v>N</v>
      </c>
      <c r="AW20" s="436">
        <f>IF($A20=1,IF(OR(AND($E20=1,'Ответы учащихся'!AF20=0.5),AND($E20=2,'Ответы учащихся'!AF20=0.5),AND($E20=3,'Ответы учащихся'!AF20=0.5),AND($E20=4,'Ответы учащихся'!AF20=0.5)),1,IF('Ответы учащихся'!AF20="N",'Ответы учащихся'!AF20,0)),"")</f>
        <v>1</v>
      </c>
      <c r="AX20" s="436">
        <f>IF($A20=1,IF(OR(AND($E20=1,'Ответы учащихся'!AG20=0.5),AND($E20=2,'Ответы учащихся'!AG20=0.5),AND($E20=3,'Ответы учащихся'!AG20=0.5),AND($E20=4,'Ответы учащихся'!AG20=0.5)),1,IF('Ответы учащихся'!AG20="N",'Ответы учащихся'!AG20,0)),"")</f>
        <v>1</v>
      </c>
      <c r="AY20" s="436">
        <f>IF($A20=1,IF(OR(AND($E20=1,'Ответы учащихся'!AH20=0.5),AND($E20=2,'Ответы учащихся'!AH20=0.5),AND($E20=3,'Ответы учащихся'!AH20=0.5),AND($E20=4,'Ответы учащихся'!AH20=0.5)),1,IF('Ответы учащихся'!AH20="N",'Ответы учащихся'!AH20,0)),"")</f>
        <v>1</v>
      </c>
      <c r="AZ20" s="436">
        <f>IF($A20=1,IF(OR(AND($E20=1,'Ответы учащихся'!AI20=0.5),AND($E20=2,'Ответы учащихся'!AI20=0.5),AND($E20=3,'Ответы учащихся'!AI20=0.5),AND($E20=4,'Ответы учащихся'!AI20=0.5)),1,IF('Ответы учащихся'!AI20="N",'Ответы учащихся'!AI20,0)),"")</f>
        <v>0</v>
      </c>
      <c r="BA20" s="437">
        <f>SUM(F17:N17)</f>
        <v>253</v>
      </c>
      <c r="BB20" s="438">
        <f>Y16+AA16</f>
        <v>8</v>
      </c>
      <c r="BC20" s="437">
        <f>J17+K17+L17+M17+COUNTIF(AV20:AV59,1)+COUNTIF(AX20:AX59,1)</f>
        <v>145</v>
      </c>
      <c r="BD20" s="437"/>
      <c r="BE20" s="419"/>
      <c r="BF20" s="419"/>
      <c r="BG20" s="6"/>
      <c r="BH20" s="6"/>
      <c r="BI20" s="6"/>
      <c r="BJ20" s="6"/>
    </row>
    <row r="21" spans="1:62" ht="12.75" customHeight="1" x14ac:dyDescent="0.2">
      <c r="A21" s="12">
        <f>IF('СПИСОК КЛАССА'!J21&gt;0,1,0)</f>
        <v>1</v>
      </c>
      <c r="B21" s="100">
        <v>2</v>
      </c>
      <c r="C21" s="101">
        <f>IF(NOT(ISBLANK('СПИСОК КЛАССА'!C21)),'СПИСОК КЛАССА'!C21,"")</f>
        <v>2</v>
      </c>
      <c r="D21" s="134" t="str">
        <f>IF(NOT(ISBLANK('СПИСОК КЛАССА'!D21)),IF($A21=1,'СПИСОК КЛАССА'!D21, "УЧЕНИК НЕ ВЫПОЛНЯЛ РАБОТУ"),"")</f>
        <v/>
      </c>
      <c r="E21" s="459">
        <f>IF($C21&lt;&gt;"",'СПИСОК КЛАССА'!J21,"")</f>
        <v>1</v>
      </c>
      <c r="F21" s="133">
        <f>IF(AND(OR($C21&lt;&gt;"",$D21&lt;&gt;""),$A21=1,$AI$2="ДА"),'Ответы учащихся'!E21,"")</f>
        <v>1</v>
      </c>
      <c r="G21" s="102">
        <f>IF(AND(OR($C21&lt;&gt;"",$D21&lt;&gt;""),$A21=1,$AI$2="ДА"),(IF($A21=1,IF(OR(AND($E21=1,'Ответы учащихся'!F21=2),AND($E21=2,'Ответы учащихся'!F21=4),AND($E21=3,OR('Ответы учащихся'!F21=3,'Ответы учащихся'!F21=4)),AND($E21=4,'Ответы учащихся'!F21=1)),1,IF('Ответы учащихся'!F21="N",'Ответы учащихся'!F21,0)),"")),"")</f>
        <v>1</v>
      </c>
      <c r="H21" s="102">
        <f>IF(AND(OR($C21&lt;&gt;"",$D21&lt;&gt;""),$A21=1,$AI$2="ДА"),(IF($A21=1,IF(OR(AND($E21=1,'Ответы учащихся'!G21=1),AND($E21=2,'Ответы учащихся'!G21=3),AND($E21=3,'Ответы учащихся'!G21=3),AND($E21=4,'Ответы учащихся'!G21=3)),1,IF('Ответы учащихся'!G21="N",'Ответы учащихся'!G21,0)),"")),"")</f>
        <v>1</v>
      </c>
      <c r="I21" s="102">
        <f>IF(AND(OR($C21&lt;&gt;"",$D21&lt;&gt;""),$A21=1,$AI$2="ДА"),(IF($A21=1,IF(OR(AND($E21=1,'Ответы учащихся'!H21=-6),AND($E21=2,'Ответы учащихся'!H21=3),AND($E21=3,'Ответы учащихся'!H21=-8),AND($E21=4,'Ответы учащихся'!H21=-6)),1,IF('Ответы учащихся'!H21="N",'Ответы учащихся'!H21,0)),"")),"")</f>
        <v>1</v>
      </c>
      <c r="J21" s="102">
        <f>IF(AND(OR($C21&lt;&gt;"",$D21&lt;&gt;""),$A21=1,$AI$2="ДА"),(IF($A21=1,IF(OR(AND($E21=1,'Ответы учащихся'!I21=3412),AND($E21=2,'Ответы учащихся'!I21=2314),AND($E21=3,'Ответы учащихся'!I21=3142),AND($E21=4,'Ответы учащихся'!I21=1234)),1,IF('Ответы учащихся'!I21="N",'Ответы учащихся'!I21,0)),"")),"")</f>
        <v>1</v>
      </c>
      <c r="K21" s="102">
        <f>IF(AND(OR($C21&lt;&gt;"",$D21&lt;&gt;""),$A21=1,$AI$2="ДА"),(IF($A21=1,IF(OR(AND($E21=1,'Ответы учащихся'!J21=390),AND($E21=2,'Ответы учащихся'!J21=273),AND($E21=3,'Ответы учащихся'!J21=205),AND($E21=4,'Ответы учащихся'!J21=240)),1,IF('Ответы учащихся'!J21="N",'Ответы учащихся'!J21,0)),"")),"")</f>
        <v>1</v>
      </c>
      <c r="L21" s="102">
        <f>IF(AND(OR($C21&lt;&gt;"",$D21&lt;&gt;""),$A21=1,$AI$2="ДА"),(IF($A21=1,IF(OR(AND($E21=1,'Ответы учащихся'!K21=1),AND($E21=2,'Ответы учащихся'!K21=2),AND($E21=3,'Ответы учащихся'!K21=4),AND($E21=4,'Ответы учащихся'!K21=3)),1,IF('Ответы учащихся'!K21="N",'Ответы учащихся'!K21,0)),"")),"")</f>
        <v>1</v>
      </c>
      <c r="M21" s="102">
        <f>IF(AND(OR($C21&lt;&gt;"",$D21&lt;&gt;""),$A21=1,$AI$2="ДА"),(IF($A21=1,IF(OR(AND($E21=1,'Ответы учащихся'!L21=3),AND($E21=2,'Ответы учащихся'!L21=1),AND($E21=3,'Ответы учащихся'!L21=4),AND($E21=4,'Ответы учащихся'!L21=2)),1,IF('Ответы учащихся'!L21="N",'Ответы учащихся'!L21,0)),"")),"")</f>
        <v>0</v>
      </c>
      <c r="N21" s="102">
        <f>IF(AND(OR($C21&lt;&gt;"",$D21&lt;&gt;""),$A21=1,$AI$2="ДА"),'Ответы учащихся'!M21,"")</f>
        <v>1</v>
      </c>
      <c r="O21" s="102">
        <f>IF(AND(OR($C21&lt;&gt;"",$D21&lt;&gt;""),$A21=1,$AI$2="ДА"),(IF($A21=1,IF(OR(AND($E21=1,'Ответы учащихся'!N21=3),AND($E21=2,'Ответы учащихся'!N21=2),AND($E21=3,'Ответы учащихся'!N21=4),AND($E21=4,'Ответы учащихся'!N21=1)),1,IF('Ответы учащихся'!N21="N",'Ответы учащихся'!N21,0)),"")),"")</f>
        <v>1</v>
      </c>
      <c r="P21" s="102">
        <f>IF(AND(OR($C21&lt;&gt;"",$D21&lt;&gt;""),$A21=1,$AI$2="ДА"),(IF($A21=1,IF(OR(AND($E21=1,'Ответы учащихся'!O21="БВ"),AND($E21=2,'Ответы учащихся'!O21="АВГ"),AND($E21=3,'Ответы учащихся'!O21="БВГ"),AND($E21=4,'Ответы учащихся'!O21="АВ")),1,IF('Ответы учащихся'!O21="N",'Ответы учащихся'!O21,0)),"")),"")</f>
        <v>0</v>
      </c>
      <c r="Q21" s="102">
        <f>IF(AND(OR($C21&lt;&gt;"",$D21&lt;&gt;""),$A21=1,$AI$2="ДА"),(IF($A21=1,IF(OR(AND($E21=1,'Ответы учащихся'!P21=2351),AND($E21=2,'Ответы учащихся'!P21=4132),AND($E21=3,'Ответы учащихся'!P21=3412),AND($E21=4,'Ответы учащихся'!P21=3125)),1,IF('Ответы учащихся'!P21="N",'Ответы учащихся'!P21,0)),"")),"")</f>
        <v>1</v>
      </c>
      <c r="R21" s="102">
        <f>IF(AND(OR($C21&lt;&gt;"",$D21&lt;&gt;""),$A21=1,$AI$2="ДА"),(IF($A21=1,IF(OR(AND($E21=1,'Ответы учащихся'!Q21=2),AND($E21=2,'Ответы учащихся'!Q21=9),AND($E21=3,'Ответы учащихся'!Q21=5),AND($E21=4,'Ответы учащихся'!Q21=2)),1,IF('Ответы учащихся'!Q21="N",'Ответы учащихся'!Q21,0)),"")),"")</f>
        <v>1</v>
      </c>
      <c r="S21" s="102">
        <f>IF(AND(OR($C21&lt;&gt;"",$D21&lt;&gt;""),$A21=1,$AI$2="ДА"),(IF($A21=1,IF(OR(AND($E21=1,'Ответы учащихся'!R21=35),AND($E21=2,'Ответы учащихся'!R21=74),AND($E21=3,'Ответы учащихся'!R21=72),AND($E21=4,'Ответы учащихся'!R21=66)),1,IF('Ответы учащихся'!R21="N",'Ответы учащихся'!R21,0)),"")),"")</f>
        <v>1</v>
      </c>
      <c r="T21" s="102">
        <f>IF(AND(OR($C21&lt;&gt;"",$D21&lt;&gt;""),$A21=1,$AI$2="ДА"),(IF($A21=1,IF(OR(AND($E21=1,'Ответы учащихся'!S21=60),AND($E21=2,'Ответы учащихся'!S21=40),AND($E21=3,'Ответы учащихся'!S21=30),AND($E21=4,'Ответы учащихся'!S21=18)),1,IF('Ответы учащихся'!S21="N",'Ответы учащихся'!S21,0)),"")),"")</f>
        <v>0</v>
      </c>
      <c r="U21" s="102">
        <f>IF(AND(OR($C21&lt;&gt;"",$D21&lt;&gt;""),$A21=1,$AI$2="ДА"),(IF($A21=1,IF(OR(AND($E21=1,'Ответы учащихся'!T21=3),AND($E21=2,'Ответы учащихся'!T21=4),AND($E21=3,'Ответы учащихся'!T21=2),AND($E21=4,'Ответы учащихся'!T21=3)),1,IF('Ответы учащихся'!T21="N",'Ответы учащихся'!T21,0)),"")),"")</f>
        <v>0</v>
      </c>
      <c r="V21" s="102">
        <f>IF(AND(OR($C21&lt;&gt;"",$D21&lt;&gt;""),$A21=1,$AI$2="ДА"),(IF($A21=1,IF(OR(AND($E21=1,'Ответы учащихся'!U21=11),AND($E21=2,'Ответы учащихся'!U21=14),AND($E21=3,'Ответы учащихся'!U21=-2),AND($E21=4,'Ответы учащихся'!U21=25)),1,IF('Ответы учащихся'!U21="N",'Ответы учащихся'!U21,0)),"")),"")</f>
        <v>1</v>
      </c>
      <c r="W21" s="102">
        <f>IF(AND(OR($C21&lt;&gt;"",$D21&lt;&gt;""),$A21=1,$AI$2="ДА"),(IF($A21=1,IF(OR(AND($E21=1,'Ответы учащихся'!V21=3000),AND($E21=2,'Ответы учащихся'!V21=2500),AND($E21=3,'Ответы учащихся'!V21=1500),AND($E21=4,'Ответы учащихся'!V21=1500)),1,IF('Ответы учащихся'!V21="N",'Ответы учащихся'!V21,0)),"")),"")</f>
        <v>1</v>
      </c>
      <c r="X21" s="102"/>
      <c r="Y21" s="102">
        <f>IF(AND(OR($C21&lt;&gt;"",$D21&lt;&gt;""),$A21=1,$AI$2="ДА"),(IF($A21=1,IF(AND('Ответы учащихся'!$W21&lt;&gt;"N",'Ответы учащихся'!$X21&lt;&gt;"N",'Ответы учащихся'!$Y21&lt;&gt;"N",'Ответы учащихся'!$Z21&lt;&gt;"N",'Ответы учащихся'!$AA21&lt;&gt;"N"),(SUM('Ответы учащихся'!$W21:$AA21)),"N"),"")),"")</f>
        <v>2</v>
      </c>
      <c r="Z21" s="102"/>
      <c r="AA21" s="102">
        <f>IF(AND(OR($C21&lt;&gt;"",$D21&lt;&gt;""),$A21=1,$AI$2="ДА"),(IF($A21=1,IF(AND('Ответы учащихся'!$AB21&lt;&gt;"N",'Ответы учащихся'!$AC21&lt;&gt;"N",'Ответы учащихся'!$AD21&lt;&gt;"N",'Ответы учащихся'!$AE21&lt;&gt;"N"),(SUM('Ответы учащихся'!$AB21:$AE21)),"N"),"")),"")</f>
        <v>2</v>
      </c>
      <c r="AB21" s="289" t="str">
        <f>IF(AND(OR($C21&lt;&gt;"",$D21&lt;&gt;""),$A21=1,$AI$2="ДА"),(IF($A21=1,IF(AND('Ответы учащихся'!$AF21&lt;&gt;"N",'Ответы учащихся'!$AG21&lt;&gt;"N",'Ответы учащихся'!$AH21&lt;&gt;"N",'Ответы учащихся'!$AI21&lt;&gt;"N"),(SUM('Ответы учащихся'!$AF21:$AI21)),"N"),"")),"")</f>
        <v>N</v>
      </c>
      <c r="AC21" s="468">
        <f t="shared" ref="AC21:AC59" si="6">IF(AND(OR($C21&lt;&gt;"",$D21&lt;&gt;""),$A21=1,$AI$2="ДА"),(SUM(F21:AB21)),"")</f>
        <v>18</v>
      </c>
      <c r="AD21" s="326">
        <f t="shared" ref="AD21:AD59" si="7">IF(AND(OR($C21&lt;&gt;"",$D21&lt;&gt;""),$A21=1,$AI$2="ДА"),AC21/24,"")</f>
        <v>0.75</v>
      </c>
      <c r="AE21" s="327">
        <f t="shared" ref="AE21:AE59" si="8">IF(AND(OR($C21&lt;&gt;"",$D21&lt;&gt;""),$A21=1,$AI$2="ДА"),(SUM(F21:W21)),"")</f>
        <v>14</v>
      </c>
      <c r="AF21" s="328">
        <f t="shared" ref="AF21:AF59" si="9">IF(AND(OR($C21&lt;&gt;"",$D21&lt;&gt;""),$A21=1,$AI$2="ДА"),AE21/18*100,"")</f>
        <v>77.777777777777786</v>
      </c>
      <c r="AG21" s="327">
        <f t="shared" ref="AG21:AG59" si="10">IF(AND(OR($C21&lt;&gt;"",$D21&lt;&gt;""),$A21=1,$AI$2="ДА"),(IF(Y21&lt;&gt;"N",Y21)+IF(AA21&lt;&gt;"N",AA21)+IF(AB21&lt;&gt;"N",AB21)),"")</f>
        <v>4</v>
      </c>
      <c r="AH21" s="329">
        <f t="shared" ref="AH21:AH59" si="11">IF(AND(OR($C21&lt;&gt;"",$D21&lt;&gt;""),$A21=1,$AI$2="ДА"),AG21/6*100,"")</f>
        <v>66.666666666666657</v>
      </c>
      <c r="AI21" s="456" t="str">
        <f t="shared" ref="AI21:AI59" si="12">IF(AND(OR($C21&lt;&gt;"",$D21&lt;&gt;""),$A21=1,$AI$2="ДА"),(IF(AC21&lt;=5,"НИЗКИЙ",(IF(AND(AC21&gt;=6,AC21&lt;9),"НЕДОСТАТОЧНЫЙ",
(IF(AND(AC21&gt;=9,AC21&lt;18),"БАЗОВЫЙ",(IF(AND(AC21&gt;=18,AC21&lt;=20),"ПОВЫШЕННЫЙ","ВЫСОКИЙ")))))))),"")</f>
        <v>ПОВЫШЕННЫЙ</v>
      </c>
      <c r="AJ21" s="446">
        <f t="shared" ref="AJ21:AJ59" si="13">$AC$18</f>
        <v>16.614705882352936</v>
      </c>
      <c r="AK21" s="447">
        <f t="shared" ref="AK21:AK59" si="14">$AD$19</f>
        <v>0.69227941176470575</v>
      </c>
      <c r="AL21" s="445">
        <v>9</v>
      </c>
      <c r="AM21" s="446">
        <f t="shared" ref="AM21:AM59" si="15">$AF$19</f>
        <v>77.287581699346404</v>
      </c>
      <c r="AN21" s="442">
        <f>IF($A21=1,IF(OR(AND($E21=1,'Ответы учащихся'!W21=0.4),AND($E21=2,'Ответы учащихся'!W21=0.4),AND($E21=3,'Ответы учащихся'!W21=0.4),AND($E21=4,'Ответы учащихся'!W21=0.4)),1,IF('Ответы учащихся'!W21="N",'Ответы учащихся'!W21,0)),"")</f>
        <v>1</v>
      </c>
      <c r="AO21" s="434">
        <f>IF($A21=1,IF(OR(AND($E21=1,'Ответы учащихся'!X21=0.4),AND($E21=2,'Ответы учащихся'!X21=0.4),AND($E21=3,'Ответы учащихся'!X21=0.4),AND($E21=4,'Ответы учащихся'!X21=0.4)),1,IF('Ответы учащихся'!X21="N",'Ответы учащихся'!X21,0)),"")</f>
        <v>1</v>
      </c>
      <c r="AP21" s="434">
        <f>IF($A21=1,IF(OR(AND($E21=1,'Ответы учащихся'!Y21=0.4),AND($E21=2,'Ответы учащихся'!Y21=0.4),AND($E21=3,'Ответы учащихся'!Y21=0.4),AND($E21=4,'Ответы учащихся'!Y21=0.4)),1,IF('Ответы учащихся'!Y21="N",'Ответы учащихся'!Y21,0)),"")</f>
        <v>1</v>
      </c>
      <c r="AQ21" s="434">
        <f>IF($A21=1,IF(OR(AND($E21=1,'Ответы учащихся'!Z21=0.4),AND($E21=2,'Ответы учащихся'!Z21=0.4),AND($E21=3,'Ответы учащихся'!Z21=0.4),AND($E21=4,'Ответы учащихся'!Z21=0.4)),1,IF('Ответы учащихся'!Z21="N",'Ответы учащихся'!Z21,0)),"")</f>
        <v>1</v>
      </c>
      <c r="AR21" s="434">
        <f>IF($A21=1,IF(OR(AND($E21=1,'Ответы учащихся'!AA21=0.4),AND($E21=2,'Ответы учащихся'!AA21=0.4),AND($E21=3,'Ответы учащихся'!AA21=0.4),AND($E21=4,'Ответы учащихся'!AA21=0.4)),1,IF('Ответы учащихся'!AA21="N",'Ответы учащихся'!AA21,0)),"")</f>
        <v>1</v>
      </c>
      <c r="AS21" s="435">
        <f>IF($A21=1,IF(OR(AND($E21=1,'Ответы учащихся'!AB21=0.5),AND($E21=2,'Ответы учащихся'!AB21=0.5),AND($E21=3,'Ответы учащихся'!AB21=0.5),AND($E21=4,'Ответы учащихся'!AB21=0.5)),1,IF('Ответы учащихся'!AB21="N",'Ответы учащихся'!AB21,0)),"")</f>
        <v>1</v>
      </c>
      <c r="AT21" s="435">
        <f>IF($A21=1,IF(OR(AND($E21=1,'Ответы учащихся'!AC21=0.5),AND($E21=2,'Ответы учащихся'!AC21=0.5),AND($E21=3,'Ответы учащихся'!AC21=0.5),AND($E21=4,'Ответы учащихся'!AC21=0.5)),1,IF('Ответы учащихся'!AC21="N",'Ответы учащихся'!AC21,0)),"")</f>
        <v>1</v>
      </c>
      <c r="AU21" s="435">
        <f>IF($A21=1,IF(OR(AND($E21=1,'Ответы учащихся'!AD21=0.5),AND($E21=2,'Ответы учащихся'!AD21=0.5),AND($E21=3,'Ответы учащихся'!AD21=0.5),AND($E21=4,'Ответы учащихся'!AD21=0.5)),1,IF('Ответы учащихся'!AD21="N",'Ответы учащихся'!AD21,0)),"")</f>
        <v>1</v>
      </c>
      <c r="AV21" s="435">
        <f>IF($A21=1,IF(OR(AND($E21=1,'Ответы учащихся'!AE21=0.5),AND($E21=2,'Ответы учащихся'!AE21=0.5),AND($E21=3,'Ответы учащихся'!AE21=0.5),AND($E21=4,'Ответы учащихся'!AE21=0.5)),1,IF('Ответы учащихся'!AE21="N",'Ответы учащихся'!AE21,0)),"")</f>
        <v>1</v>
      </c>
      <c r="AW21" s="436" t="str">
        <f>IF($A21=1,IF(OR(AND($E21=1,'Ответы учащихся'!AF21=0.5),AND($E21=2,'Ответы учащихся'!AF21=0.5),AND($E21=3,'Ответы учащихся'!AF21=0.5),AND($E21=4,'Ответы учащихся'!AF21=0.5)),1,IF('Ответы учащихся'!AF21="N",'Ответы учащихся'!AF21,0)),"")</f>
        <v>N</v>
      </c>
      <c r="AX21" s="436" t="str">
        <f>IF($A21=1,IF(OR(AND($E21=1,'Ответы учащихся'!AG21=0.5),AND($E21=2,'Ответы учащихся'!AG21=0.5),AND($E21=3,'Ответы учащихся'!AG21=0.5),AND($E21=4,'Ответы учащихся'!AG21=0.5)),1,IF('Ответы учащихся'!AG21="N",'Ответы учащихся'!AG21,0)),"")</f>
        <v>N</v>
      </c>
      <c r="AY21" s="436" t="str">
        <f>IF($A21=1,IF(OR(AND($E21=1,'Ответы учащихся'!AH21=0.5),AND($E21=2,'Ответы учащихся'!AH21=0.5),AND($E21=3,'Ответы учащихся'!AH21=0.5),AND($E21=4,'Ответы учащихся'!AH21=0.5)),1,IF('Ответы учащихся'!AH21="N",'Ответы учащихся'!AH21,0)),"")</f>
        <v>N</v>
      </c>
      <c r="AZ21" s="436" t="str">
        <f>IF($A21=1,IF(OR(AND($E21=1,'Ответы учащихся'!AI21=0.5),AND($E21=2,'Ответы учащихся'!AI21=0.5),AND($E21=3,'Ответы учащихся'!AI21=0.5),AND($E21=4,'Ответы учащихся'!AI21=0.5)),1,IF('Ответы учащихся'!AI21="N",'Ответы учащихся'!AI21,0)),"")</f>
        <v>N</v>
      </c>
      <c r="BA21" s="437">
        <f>SUM(O17:T17)</f>
        <v>129</v>
      </c>
      <c r="BB21" s="438">
        <f>Y17+AA17</f>
        <v>5</v>
      </c>
      <c r="BC21" s="437">
        <f>J18+K18+L18+M18+COUNTIF(AV20:AV59,0)+COUNTIF(AX20:AX59,0)</f>
        <v>20</v>
      </c>
      <c r="BD21" s="437"/>
      <c r="BE21" s="419"/>
      <c r="BF21" s="419">
        <f>BA21+BA24+BA27</f>
        <v>204</v>
      </c>
      <c r="BG21" s="6"/>
      <c r="BH21" s="6"/>
      <c r="BI21" s="6"/>
      <c r="BJ21" s="6"/>
    </row>
    <row r="22" spans="1:62" ht="12.75" customHeight="1" x14ac:dyDescent="0.2">
      <c r="A22" s="12">
        <f>IF('СПИСОК КЛАССА'!J22&gt;0,1,0)</f>
        <v>1</v>
      </c>
      <c r="B22" s="100">
        <v>3</v>
      </c>
      <c r="C22" s="101">
        <f>IF(NOT(ISBLANK('СПИСОК КЛАССА'!C22)),'СПИСОК КЛАССА'!C22,"")</f>
        <v>3</v>
      </c>
      <c r="D22" s="134" t="str">
        <f>IF(NOT(ISBLANK('СПИСОК КЛАССА'!D22)),IF($A22=1,'СПИСОК КЛАССА'!D22, "УЧЕНИК НЕ ВЫПОЛНЯЛ РАБОТУ"),"")</f>
        <v/>
      </c>
      <c r="E22" s="459">
        <f>IF($C22&lt;&gt;"",'СПИСОК КЛАССА'!J22,"")</f>
        <v>1</v>
      </c>
      <c r="F22" s="133">
        <f>IF(AND(OR($C22&lt;&gt;"",$D22&lt;&gt;""),$A22=1,$AI$2="ДА"),'Ответы учащихся'!E22,"")</f>
        <v>1</v>
      </c>
      <c r="G22" s="102">
        <f>IF(AND(OR($C22&lt;&gt;"",$D22&lt;&gt;""),$A22=1,$AI$2="ДА"),(IF($A22=1,IF(OR(AND($E22=1,'Ответы учащихся'!F22=2),AND($E22=2,'Ответы учащихся'!F22=4),AND($E22=3,OR('Ответы учащихся'!F22=3,'Ответы учащихся'!F22=4)),AND($E22=4,'Ответы учащихся'!F22=1)),1,IF('Ответы учащихся'!F22="N",'Ответы учащихся'!F22,0)),"")),"")</f>
        <v>1</v>
      </c>
      <c r="H22" s="102">
        <f>IF(AND(OR($C22&lt;&gt;"",$D22&lt;&gt;""),$A22=1,$AI$2="ДА"),(IF($A22=1,IF(OR(AND($E22=1,'Ответы учащихся'!G22=1),AND($E22=2,'Ответы учащихся'!G22=3),AND($E22=3,'Ответы учащихся'!G22=3),AND($E22=4,'Ответы учащихся'!G22=3)),1,IF('Ответы учащихся'!G22="N",'Ответы учащихся'!G22,0)),"")),"")</f>
        <v>1</v>
      </c>
      <c r="I22" s="102">
        <f>IF(AND(OR($C22&lt;&gt;"",$D22&lt;&gt;""),$A22=1,$AI$2="ДА"),(IF($A22=1,IF(OR(AND($E22=1,'Ответы учащихся'!H22=-6),AND($E22=2,'Ответы учащихся'!H22=3),AND($E22=3,'Ответы учащихся'!H22=-8),AND($E22=4,'Ответы учащихся'!H22=-6)),1,IF('Ответы учащихся'!H22="N",'Ответы учащихся'!H22,0)),"")),"")</f>
        <v>1</v>
      </c>
      <c r="J22" s="102">
        <f>IF(AND(OR($C22&lt;&gt;"",$D22&lt;&gt;""),$A22=1,$AI$2="ДА"),(IF($A22=1,IF(OR(AND($E22=1,'Ответы учащихся'!I22=3412),AND($E22=2,'Ответы учащихся'!I22=2314),AND($E22=3,'Ответы учащихся'!I22=3142),AND($E22=4,'Ответы учащихся'!I22=1234)),1,IF('Ответы учащихся'!I22="N",'Ответы учащихся'!I22,0)),"")),"")</f>
        <v>1</v>
      </c>
      <c r="K22" s="102">
        <f>IF(AND(OR($C22&lt;&gt;"",$D22&lt;&gt;""),$A22=1,$AI$2="ДА"),(IF($A22=1,IF(OR(AND($E22=1,'Ответы учащихся'!J22=390),AND($E22=2,'Ответы учащихся'!J22=273),AND($E22=3,'Ответы учащихся'!J22=205),AND($E22=4,'Ответы учащихся'!J22=240)),1,IF('Ответы учащихся'!J22="N",'Ответы учащихся'!J22,0)),"")),"")</f>
        <v>1</v>
      </c>
      <c r="L22" s="102">
        <f>IF(AND(OR($C22&lt;&gt;"",$D22&lt;&gt;""),$A22=1,$AI$2="ДА"),(IF($A22=1,IF(OR(AND($E22=1,'Ответы учащихся'!K22=1),AND($E22=2,'Ответы учащихся'!K22=2),AND($E22=3,'Ответы учащихся'!K22=4),AND($E22=4,'Ответы учащихся'!K22=3)),1,IF('Ответы учащихся'!K22="N",'Ответы учащихся'!K22,0)),"")),"")</f>
        <v>1</v>
      </c>
      <c r="M22" s="102">
        <f>IF(AND(OR($C22&lt;&gt;"",$D22&lt;&gt;""),$A22=1,$AI$2="ДА"),(IF($A22=1,IF(OR(AND($E22=1,'Ответы учащихся'!L22=3),AND($E22=2,'Ответы учащихся'!L22=1),AND($E22=3,'Ответы учащихся'!L22=4),AND($E22=4,'Ответы учащихся'!L22=2)),1,IF('Ответы учащихся'!L22="N",'Ответы учащихся'!L22,0)),"")),"")</f>
        <v>1</v>
      </c>
      <c r="N22" s="102">
        <f>IF(AND(OR($C22&lt;&gt;"",$D22&lt;&gt;""),$A22=1,$AI$2="ДА"),'Ответы учащихся'!M22,"")</f>
        <v>1</v>
      </c>
      <c r="O22" s="102">
        <f>IF(AND(OR($C22&lt;&gt;"",$D22&lt;&gt;""),$A22=1,$AI$2="ДА"),(IF($A22=1,IF(OR(AND($E22=1,'Ответы учащихся'!N22=3),AND($E22=2,'Ответы учащихся'!N22=2),AND($E22=3,'Ответы учащихся'!N22=4),AND($E22=4,'Ответы учащихся'!N22=1)),1,IF('Ответы учащихся'!N22="N",'Ответы учащихся'!N22,0)),"")),"")</f>
        <v>1</v>
      </c>
      <c r="P22" s="102">
        <f>IF(AND(OR($C22&lt;&gt;"",$D22&lt;&gt;""),$A22=1,$AI$2="ДА"),(IF($A22=1,IF(OR(AND($E22=1,'Ответы учащихся'!O22="БВ"),AND($E22=2,'Ответы учащихся'!O22="АВГ"),AND($E22=3,'Ответы учащихся'!O22="БВГ"),AND($E22=4,'Ответы учащихся'!O22="АВ")),1,IF('Ответы учащихся'!O22="N",'Ответы учащихся'!O22,0)),"")),"")</f>
        <v>1</v>
      </c>
      <c r="Q22" s="102">
        <f>IF(AND(OR($C22&lt;&gt;"",$D22&lt;&gt;""),$A22=1,$AI$2="ДА"),(IF($A22=1,IF(OR(AND($E22=1,'Ответы учащихся'!P22=2351),AND($E22=2,'Ответы учащихся'!P22=4132),AND($E22=3,'Ответы учащихся'!P22=3412),AND($E22=4,'Ответы учащихся'!P22=3125)),1,IF('Ответы учащихся'!P22="N",'Ответы учащихся'!P22,0)),"")),"")</f>
        <v>1</v>
      </c>
      <c r="R22" s="102">
        <f>IF(AND(OR($C22&lt;&gt;"",$D22&lt;&gt;""),$A22=1,$AI$2="ДА"),(IF($A22=1,IF(OR(AND($E22=1,'Ответы учащихся'!Q22=2),AND($E22=2,'Ответы учащихся'!Q22=9),AND($E22=3,'Ответы учащихся'!Q22=5),AND($E22=4,'Ответы учащихся'!Q22=2)),1,IF('Ответы учащихся'!Q22="N",'Ответы учащихся'!Q22,0)),"")),"")</f>
        <v>1</v>
      </c>
      <c r="S22" s="102">
        <f>IF(AND(OR($C22&lt;&gt;"",$D22&lt;&gt;""),$A22=1,$AI$2="ДА"),(IF($A22=1,IF(OR(AND($E22=1,'Ответы учащихся'!R22=35),AND($E22=2,'Ответы учащихся'!R22=74),AND($E22=3,'Ответы учащихся'!R22=72),AND($E22=4,'Ответы учащихся'!R22=66)),1,IF('Ответы учащихся'!R22="N",'Ответы учащихся'!R22,0)),"")),"")</f>
        <v>1</v>
      </c>
      <c r="T22" s="102">
        <f>IF(AND(OR($C22&lt;&gt;"",$D22&lt;&gt;""),$A22=1,$AI$2="ДА"),(IF($A22=1,IF(OR(AND($E22=1,'Ответы учащихся'!S22=60),AND($E22=2,'Ответы учащихся'!S22=40),AND($E22=3,'Ответы учащихся'!S22=30),AND($E22=4,'Ответы учащихся'!S22=18)),1,IF('Ответы учащихся'!S22="N",'Ответы учащихся'!S22,0)),"")),"")</f>
        <v>0</v>
      </c>
      <c r="U22" s="102">
        <f>IF(AND(OR($C22&lt;&gt;"",$D22&lt;&gt;""),$A22=1,$AI$2="ДА"),(IF($A22=1,IF(OR(AND($E22=1,'Ответы учащихся'!T22=3),AND($E22=2,'Ответы учащихся'!T22=4),AND($E22=3,'Ответы учащихся'!T22=2),AND($E22=4,'Ответы учащихся'!T22=3)),1,IF('Ответы учащихся'!T22="N",'Ответы учащихся'!T22,0)),"")),"")</f>
        <v>1</v>
      </c>
      <c r="V22" s="102">
        <f>IF(AND(OR($C22&lt;&gt;"",$D22&lt;&gt;""),$A22=1,$AI$2="ДА"),(IF($A22=1,IF(OR(AND($E22=1,'Ответы учащихся'!U22=11),AND($E22=2,'Ответы учащихся'!U22=14),AND($E22=3,'Ответы учащихся'!U22=-2),AND($E22=4,'Ответы учащихся'!U22=25)),1,IF('Ответы учащихся'!U22="N",'Ответы учащихся'!U22,0)),"")),"")</f>
        <v>1</v>
      </c>
      <c r="W22" s="102">
        <f>IF(AND(OR($C22&lt;&gt;"",$D22&lt;&gt;""),$A22=1,$AI$2="ДА"),(IF($A22=1,IF(OR(AND($E22=1,'Ответы учащихся'!V22=3000),AND($E22=2,'Ответы учащихся'!V22=2500),AND($E22=3,'Ответы учащихся'!V22=1500),AND($E22=4,'Ответы учащихся'!V22=1500)),1,IF('Ответы учащихся'!V22="N",'Ответы учащихся'!V22,0)),"")),"")</f>
        <v>1</v>
      </c>
      <c r="X22" s="102"/>
      <c r="Y22" s="102">
        <f>IF(AND(OR($C22&lt;&gt;"",$D22&lt;&gt;""),$A22=1,$AI$2="ДА"),(IF($A22=1,IF(AND('Ответы учащихся'!$W22&lt;&gt;"N",'Ответы учащихся'!$X22&lt;&gt;"N",'Ответы учащихся'!$Y22&lt;&gt;"N",'Ответы учащихся'!$Z22&lt;&gt;"N",'Ответы учащихся'!$AA22&lt;&gt;"N"),(SUM('Ответы учащихся'!$W22:$AA22)),"N"),"")),"")</f>
        <v>2</v>
      </c>
      <c r="Z22" s="102"/>
      <c r="AA22" s="102">
        <f>IF(AND(OR($C22&lt;&gt;"",$D22&lt;&gt;""),$A22=1,$AI$2="ДА"),(IF($A22=1,IF(AND('Ответы учащихся'!$AB22&lt;&gt;"N",'Ответы учащихся'!$AC22&lt;&gt;"N",'Ответы учащихся'!$AD22&lt;&gt;"N",'Ответы учащихся'!$AE22&lt;&gt;"N"),(SUM('Ответы учащихся'!$AB22:$AE22)),"N"),"")),"")</f>
        <v>2</v>
      </c>
      <c r="AB22" s="289">
        <f>IF(AND(OR($C22&lt;&gt;"",$D22&lt;&gt;""),$A22=1,$AI$2="ДА"),(IF($A22=1,IF(AND('Ответы учащихся'!$AF22&lt;&gt;"N",'Ответы учащихся'!$AG22&lt;&gt;"N",'Ответы учащихся'!$AH22&lt;&gt;"N",'Ответы учащихся'!$AI22&lt;&gt;"N"),(SUM('Ответы учащихся'!$AF22:$AI22)),"N"),"")),"")</f>
        <v>2</v>
      </c>
      <c r="AC22" s="468">
        <f t="shared" si="6"/>
        <v>23</v>
      </c>
      <c r="AD22" s="326">
        <f t="shared" si="7"/>
        <v>0.95833333333333337</v>
      </c>
      <c r="AE22" s="327">
        <f t="shared" si="8"/>
        <v>17</v>
      </c>
      <c r="AF22" s="328">
        <f t="shared" si="9"/>
        <v>94.444444444444443</v>
      </c>
      <c r="AG22" s="327">
        <f t="shared" si="10"/>
        <v>6</v>
      </c>
      <c r="AH22" s="329">
        <f t="shared" si="11"/>
        <v>100</v>
      </c>
      <c r="AI22" s="456" t="str">
        <f t="shared" si="12"/>
        <v>ВЫСОКИЙ</v>
      </c>
      <c r="AJ22" s="446">
        <f t="shared" si="13"/>
        <v>16.614705882352936</v>
      </c>
      <c r="AK22" s="447">
        <f t="shared" si="14"/>
        <v>0.69227941176470575</v>
      </c>
      <c r="AL22" s="445">
        <v>9</v>
      </c>
      <c r="AM22" s="446">
        <f t="shared" si="15"/>
        <v>77.287581699346404</v>
      </c>
      <c r="AN22" s="442">
        <f>IF($A22=1,IF(OR(AND($E22=1,'Ответы учащихся'!W22=0.4),AND($E22=2,'Ответы учащихся'!W22=0.4),AND($E22=3,'Ответы учащихся'!W22=0.4),AND($E22=4,'Ответы учащихся'!W22=0.4)),1,IF('Ответы учащихся'!W22="N",'Ответы учащихся'!W22,0)),"")</f>
        <v>1</v>
      </c>
      <c r="AO22" s="434">
        <f>IF($A22=1,IF(OR(AND($E22=1,'Ответы учащихся'!X22=0.4),AND($E22=2,'Ответы учащихся'!X22=0.4),AND($E22=3,'Ответы учащихся'!X22=0.4),AND($E22=4,'Ответы учащихся'!X22=0.4)),1,IF('Ответы учащихся'!X22="N",'Ответы учащихся'!X22,0)),"")</f>
        <v>1</v>
      </c>
      <c r="AP22" s="434">
        <f>IF($A22=1,IF(OR(AND($E22=1,'Ответы учащихся'!Y22=0.4),AND($E22=2,'Ответы учащихся'!Y22=0.4),AND($E22=3,'Ответы учащихся'!Y22=0.4),AND($E22=4,'Ответы учащихся'!Y22=0.4)),1,IF('Ответы учащихся'!Y22="N",'Ответы учащихся'!Y22,0)),"")</f>
        <v>1</v>
      </c>
      <c r="AQ22" s="434">
        <f>IF($A22=1,IF(OR(AND($E22=1,'Ответы учащихся'!Z22=0.4),AND($E22=2,'Ответы учащихся'!Z22=0.4),AND($E22=3,'Ответы учащихся'!Z22=0.4),AND($E22=4,'Ответы учащихся'!Z22=0.4)),1,IF('Ответы учащихся'!Z22="N",'Ответы учащихся'!Z22,0)),"")</f>
        <v>1</v>
      </c>
      <c r="AR22" s="434">
        <f>IF($A22=1,IF(OR(AND($E22=1,'Ответы учащихся'!AA22=0.4),AND($E22=2,'Ответы учащихся'!AA22=0.4),AND($E22=3,'Ответы учащихся'!AA22=0.4),AND($E22=4,'Ответы учащихся'!AA22=0.4)),1,IF('Ответы учащихся'!AA22="N",'Ответы учащихся'!AA22,0)),"")</f>
        <v>1</v>
      </c>
      <c r="AS22" s="435">
        <f>IF($A22=1,IF(OR(AND($E22=1,'Ответы учащихся'!AB22=0.5),AND($E22=2,'Ответы учащихся'!AB22=0.5),AND($E22=3,'Ответы учащихся'!AB22=0.5),AND($E22=4,'Ответы учащихся'!AB22=0.5)),1,IF('Ответы учащихся'!AB22="N",'Ответы учащихся'!AB22,0)),"")</f>
        <v>1</v>
      </c>
      <c r="AT22" s="435">
        <f>IF($A22=1,IF(OR(AND($E22=1,'Ответы учащихся'!AC22=0.5),AND($E22=2,'Ответы учащихся'!AC22=0.5),AND($E22=3,'Ответы учащихся'!AC22=0.5),AND($E22=4,'Ответы учащихся'!AC22=0.5)),1,IF('Ответы учащихся'!AC22="N",'Ответы учащихся'!AC22,0)),"")</f>
        <v>1</v>
      </c>
      <c r="AU22" s="435">
        <f>IF($A22=1,IF(OR(AND($E22=1,'Ответы учащихся'!AD22=0.5),AND($E22=2,'Ответы учащихся'!AD22=0.5),AND($E22=3,'Ответы учащихся'!AD22=0.5),AND($E22=4,'Ответы учащихся'!AD22=0.5)),1,IF('Ответы учащихся'!AD22="N",'Ответы учащихся'!AD22,0)),"")</f>
        <v>1</v>
      </c>
      <c r="AV22" s="435">
        <f>IF($A22=1,IF(OR(AND($E22=1,'Ответы учащихся'!AE22=0.5),AND($E22=2,'Ответы учащихся'!AE22=0.5),AND($E22=3,'Ответы учащихся'!AE22=0.5),AND($E22=4,'Ответы учащихся'!AE22=0.5)),1,IF('Ответы учащихся'!AE22="N",'Ответы учащихся'!AE22,0)),"")</f>
        <v>1</v>
      </c>
      <c r="AW22" s="436">
        <f>IF($A22=1,IF(OR(AND($E22=1,'Ответы учащихся'!AF22=0.5),AND($E22=2,'Ответы учащихся'!AF22=0.5),AND($E22=3,'Ответы учащихся'!AF22=0.5),AND($E22=4,'Ответы учащихся'!AF22=0.5)),1,IF('Ответы учащихся'!AF22="N",'Ответы учащихся'!AF22,0)),"")</f>
        <v>1</v>
      </c>
      <c r="AX22" s="436">
        <f>IF($A22=1,IF(OR(AND($E22=1,'Ответы учащихся'!AG22=0.5),AND($E22=2,'Ответы учащихся'!AG22=0.5),AND($E22=3,'Ответы учащихся'!AG22=0.5),AND($E22=4,'Ответы учащихся'!AG22=0.5)),1,IF('Ответы учащихся'!AG22="N",'Ответы учащихся'!AG22,0)),"")</f>
        <v>1</v>
      </c>
      <c r="AY22" s="436">
        <f>IF($A22=1,IF(OR(AND($E22=1,'Ответы учащихся'!AH22=0.5),AND($E22=2,'Ответы учащихся'!AH22=0.5),AND($E22=3,'Ответы учащихся'!AH22=0.5),AND($E22=4,'Ответы учащихся'!AH22=0.5)),1,IF('Ответы учащихся'!AH22="N",'Ответы учащихся'!AH22,0)),"")</f>
        <v>1</v>
      </c>
      <c r="AZ22" s="436">
        <f>IF($A22=1,IF(OR(AND($E22=1,'Ответы учащихся'!AI22=0.5),AND($E22=2,'Ответы учащихся'!AI22=0.5),AND($E22=3,'Ответы учащихся'!AI22=0.5),AND($E22=4,'Ответы учащихся'!AI22=0.5)),1,IF('Ответы учащихся'!AI22="N",'Ответы учащихся'!AI22,0)),"")</f>
        <v>1</v>
      </c>
      <c r="BA22" s="437">
        <f>SUM(U17:W17)</f>
        <v>91</v>
      </c>
      <c r="BB22" s="438">
        <f>Y18+AA18</f>
        <v>0</v>
      </c>
      <c r="BC22" s="437">
        <f>J19+K19+L19+M19+COUNTIF(AV20:AV59,"N")+COUNTIF(AX20:AX59,"N")</f>
        <v>39</v>
      </c>
      <c r="BD22" s="437"/>
      <c r="BE22" s="419"/>
      <c r="BF22" s="419"/>
      <c r="BG22" s="6"/>
      <c r="BH22" s="6"/>
      <c r="BI22" s="6"/>
      <c r="BJ22" s="6"/>
    </row>
    <row r="23" spans="1:62" ht="12.75" customHeight="1" x14ac:dyDescent="0.2">
      <c r="A23" s="12">
        <f>IF('СПИСОК КЛАССА'!J23&gt;0,1,0)</f>
        <v>1</v>
      </c>
      <c r="B23" s="100">
        <v>4</v>
      </c>
      <c r="C23" s="101">
        <f>IF(NOT(ISBLANK('СПИСОК КЛАССА'!C23)),'СПИСОК КЛАССА'!C23,"")</f>
        <v>4</v>
      </c>
      <c r="D23" s="134" t="str">
        <f>IF(NOT(ISBLANK('СПИСОК КЛАССА'!D23)),IF($A23=1,'СПИСОК КЛАССА'!D23, "УЧЕНИК НЕ ВЫПОЛНЯЛ РАБОТУ"),"")</f>
        <v/>
      </c>
      <c r="E23" s="459">
        <f>IF($C23&lt;&gt;"",'СПИСОК КЛАССА'!J23,"")</f>
        <v>1</v>
      </c>
      <c r="F23" s="133">
        <f>IF(AND(OR($C23&lt;&gt;"",$D23&lt;&gt;""),$A23=1,$AI$2="ДА"),'Ответы учащихся'!E23,"")</f>
        <v>1</v>
      </c>
      <c r="G23" s="102">
        <f>IF(AND(OR($C23&lt;&gt;"",$D23&lt;&gt;""),$A23=1,$AI$2="ДА"),(IF($A23=1,IF(OR(AND($E23=1,'Ответы учащихся'!F23=2),AND($E23=2,'Ответы учащихся'!F23=4),AND($E23=3,OR('Ответы учащихся'!F23=3,'Ответы учащихся'!F23=4)),AND($E23=4,'Ответы учащихся'!F23=1)),1,IF('Ответы учащихся'!F23="N",'Ответы учащихся'!F23,0)),"")),"")</f>
        <v>1</v>
      </c>
      <c r="H23" s="102">
        <f>IF(AND(OR($C23&lt;&gt;"",$D23&lt;&gt;""),$A23=1,$AI$2="ДА"),(IF($A23=1,IF(OR(AND($E23=1,'Ответы учащихся'!G23=1),AND($E23=2,'Ответы учащихся'!G23=3),AND($E23=3,'Ответы учащихся'!G23=3),AND($E23=4,'Ответы учащихся'!G23=3)),1,IF('Ответы учащихся'!G23="N",'Ответы учащихся'!G23,0)),"")),"")</f>
        <v>1</v>
      </c>
      <c r="I23" s="102">
        <f>IF(AND(OR($C23&lt;&gt;"",$D23&lt;&gt;""),$A23=1,$AI$2="ДА"),(IF($A23=1,IF(OR(AND($E23=1,'Ответы учащихся'!H23=-6),AND($E23=2,'Ответы учащихся'!H23=3),AND($E23=3,'Ответы учащихся'!H23=-8),AND($E23=4,'Ответы учащихся'!H23=-6)),1,IF('Ответы учащихся'!H23="N",'Ответы учащихся'!H23,0)),"")),"")</f>
        <v>1</v>
      </c>
      <c r="J23" s="102">
        <f>IF(AND(OR($C23&lt;&gt;"",$D23&lt;&gt;""),$A23=1,$AI$2="ДА"),(IF($A23=1,IF(OR(AND($E23=1,'Ответы учащихся'!I23=3412),AND($E23=2,'Ответы учащихся'!I23=2314),AND($E23=3,'Ответы учащихся'!I23=3142),AND($E23=4,'Ответы учащихся'!I23=1234)),1,IF('Ответы учащихся'!I23="N",'Ответы учащихся'!I23,0)),"")),"")</f>
        <v>1</v>
      </c>
      <c r="K23" s="102">
        <f>IF(AND(OR($C23&lt;&gt;"",$D23&lt;&gt;""),$A23=1,$AI$2="ДА"),(IF($A23=1,IF(OR(AND($E23=1,'Ответы учащихся'!J23=390),AND($E23=2,'Ответы учащихся'!J23=273),AND($E23=3,'Ответы учащихся'!J23=205),AND($E23=4,'Ответы учащихся'!J23=240)),1,IF('Ответы учащихся'!J23="N",'Ответы учащихся'!J23,0)),"")),"")</f>
        <v>1</v>
      </c>
      <c r="L23" s="102">
        <f>IF(AND(OR($C23&lt;&gt;"",$D23&lt;&gt;""),$A23=1,$AI$2="ДА"),(IF($A23=1,IF(OR(AND($E23=1,'Ответы учащихся'!K23=1),AND($E23=2,'Ответы учащихся'!K23=2),AND($E23=3,'Ответы учащихся'!K23=4),AND($E23=4,'Ответы учащихся'!K23=3)),1,IF('Ответы учащихся'!K23="N",'Ответы учащихся'!K23,0)),"")),"")</f>
        <v>1</v>
      </c>
      <c r="M23" s="102">
        <f>IF(AND(OR($C23&lt;&gt;"",$D23&lt;&gt;""),$A23=1,$AI$2="ДА"),(IF($A23=1,IF(OR(AND($E23=1,'Ответы учащихся'!L23=3),AND($E23=2,'Ответы учащихся'!L23=1),AND($E23=3,'Ответы учащихся'!L23=4),AND($E23=4,'Ответы учащихся'!L23=2)),1,IF('Ответы учащихся'!L23="N",'Ответы учащихся'!L23,0)),"")),"")</f>
        <v>1</v>
      </c>
      <c r="N23" s="102">
        <f>IF(AND(OR($C23&lt;&gt;"",$D23&lt;&gt;""),$A23=1,$AI$2="ДА"),'Ответы учащихся'!M23,"")</f>
        <v>1</v>
      </c>
      <c r="O23" s="102">
        <f>IF(AND(OR($C23&lt;&gt;"",$D23&lt;&gt;""),$A23=1,$AI$2="ДА"),(IF($A23=1,IF(OR(AND($E23=1,'Ответы учащихся'!N23=3),AND($E23=2,'Ответы учащихся'!N23=2),AND($E23=3,'Ответы учащихся'!N23=4),AND($E23=4,'Ответы учащихся'!N23=1)),1,IF('Ответы учащихся'!N23="N",'Ответы учащихся'!N23,0)),"")),"")</f>
        <v>1</v>
      </c>
      <c r="P23" s="102">
        <f>IF(AND(OR($C23&lt;&gt;"",$D23&lt;&gt;""),$A23=1,$AI$2="ДА"),(IF($A23=1,IF(OR(AND($E23=1,'Ответы учащихся'!O23="БВ"),AND($E23=2,'Ответы учащихся'!O23="АВГ"),AND($E23=3,'Ответы учащихся'!O23="БВГ"),AND($E23=4,'Ответы учащихся'!O23="АВ")),1,IF('Ответы учащихся'!O23="N",'Ответы учащихся'!O23,0)),"")),"")</f>
        <v>1</v>
      </c>
      <c r="Q23" s="102">
        <f>IF(AND(OR($C23&lt;&gt;"",$D23&lt;&gt;""),$A23=1,$AI$2="ДА"),(IF($A23=1,IF(OR(AND($E23=1,'Ответы учащихся'!P23=2351),AND($E23=2,'Ответы учащихся'!P23=4132),AND($E23=3,'Ответы учащихся'!P23=3412),AND($E23=4,'Ответы учащихся'!P23=3125)),1,IF('Ответы учащихся'!P23="N",'Ответы учащихся'!P23,0)),"")),"")</f>
        <v>1</v>
      </c>
      <c r="R23" s="102">
        <f>IF(AND(OR($C23&lt;&gt;"",$D23&lt;&gt;""),$A23=1,$AI$2="ДА"),(IF($A23=1,IF(OR(AND($E23=1,'Ответы учащихся'!Q23=2),AND($E23=2,'Ответы учащихся'!Q23=9),AND($E23=3,'Ответы учащихся'!Q23=5),AND($E23=4,'Ответы учащихся'!Q23=2)),1,IF('Ответы учащихся'!Q23="N",'Ответы учащихся'!Q23,0)),"")),"")</f>
        <v>1</v>
      </c>
      <c r="S23" s="102">
        <f>IF(AND(OR($C23&lt;&gt;"",$D23&lt;&gt;""),$A23=1,$AI$2="ДА"),(IF($A23=1,IF(OR(AND($E23=1,'Ответы учащихся'!R23=35),AND($E23=2,'Ответы учащихся'!R23=74),AND($E23=3,'Ответы учащихся'!R23=72),AND($E23=4,'Ответы учащихся'!R23=66)),1,IF('Ответы учащихся'!R23="N",'Ответы учащихся'!R23,0)),"")),"")</f>
        <v>1</v>
      </c>
      <c r="T23" s="102">
        <f>IF(AND(OR($C23&lt;&gt;"",$D23&lt;&gt;""),$A23=1,$AI$2="ДА"),(IF($A23=1,IF(OR(AND($E23=1,'Ответы учащихся'!S23=60),AND($E23=2,'Ответы учащихся'!S23=40),AND($E23=3,'Ответы учащихся'!S23=30),AND($E23=4,'Ответы учащихся'!S23=18)),1,IF('Ответы учащихся'!S23="N",'Ответы учащихся'!S23,0)),"")),"")</f>
        <v>0</v>
      </c>
      <c r="U23" s="102">
        <f>IF(AND(OR($C23&lt;&gt;"",$D23&lt;&gt;""),$A23=1,$AI$2="ДА"),(IF($A23=1,IF(OR(AND($E23=1,'Ответы учащихся'!T23=3),AND($E23=2,'Ответы учащихся'!T23=4),AND($E23=3,'Ответы учащихся'!T23=2),AND($E23=4,'Ответы учащихся'!T23=3)),1,IF('Ответы учащихся'!T23="N",'Ответы учащихся'!T23,0)),"")),"")</f>
        <v>1</v>
      </c>
      <c r="V23" s="102">
        <f>IF(AND(OR($C23&lt;&gt;"",$D23&lt;&gt;""),$A23=1,$AI$2="ДА"),(IF($A23=1,IF(OR(AND($E23=1,'Ответы учащихся'!U23=11),AND($E23=2,'Ответы учащихся'!U23=14),AND($E23=3,'Ответы учащихся'!U23=-2),AND($E23=4,'Ответы учащихся'!U23=25)),1,IF('Ответы учащихся'!U23="N",'Ответы учащихся'!U23,0)),"")),"")</f>
        <v>1</v>
      </c>
      <c r="W23" s="102">
        <f>IF(AND(OR($C23&lt;&gt;"",$D23&lt;&gt;""),$A23=1,$AI$2="ДА"),(IF($A23=1,IF(OR(AND($E23=1,'Ответы учащихся'!V23=3000),AND($E23=2,'Ответы учащихся'!V23=2500),AND($E23=3,'Ответы учащихся'!V23=1500),AND($E23=4,'Ответы учащихся'!V23=1500)),1,IF('Ответы учащихся'!V23="N",'Ответы учащихся'!V23,0)),"")),"")</f>
        <v>1</v>
      </c>
      <c r="X23" s="102"/>
      <c r="Y23" s="102">
        <f>IF(AND(OR($C23&lt;&gt;"",$D23&lt;&gt;""),$A23=1,$AI$2="ДА"),(IF($A23=1,IF(AND('Ответы учащихся'!$W23&lt;&gt;"N",'Ответы учащихся'!$X23&lt;&gt;"N",'Ответы учащихся'!$Y23&lt;&gt;"N",'Ответы учащихся'!$Z23&lt;&gt;"N",'Ответы учащихся'!$AA23&lt;&gt;"N"),(SUM('Ответы учащихся'!$W23:$AA23)),"N"),"")),"")</f>
        <v>2</v>
      </c>
      <c r="Z23" s="102"/>
      <c r="AA23" s="102">
        <f>IF(AND(OR($C23&lt;&gt;"",$D23&lt;&gt;""),$A23=1,$AI$2="ДА"),(IF($A23=1,IF(AND('Ответы учащихся'!$AB23&lt;&gt;"N",'Ответы учащихся'!$AC23&lt;&gt;"N",'Ответы учащихся'!$AD23&lt;&gt;"N",'Ответы учащихся'!$AE23&lt;&gt;"N"),(SUM('Ответы учащихся'!$AB23:$AE23)),"N"),"")),"")</f>
        <v>2</v>
      </c>
      <c r="AB23" s="289">
        <f>IF(AND(OR($C23&lt;&gt;"",$D23&lt;&gt;""),$A23=1,$AI$2="ДА"),(IF($A23=1,IF(AND('Ответы учащихся'!$AF23&lt;&gt;"N",'Ответы учащихся'!$AG23&lt;&gt;"N",'Ответы учащихся'!$AH23&lt;&gt;"N",'Ответы учащихся'!$AI23&lt;&gt;"N"),(SUM('Ответы учащихся'!$AF23:$AI23)),"N"),"")),"")</f>
        <v>2</v>
      </c>
      <c r="AC23" s="468">
        <f t="shared" si="6"/>
        <v>23</v>
      </c>
      <c r="AD23" s="326">
        <f t="shared" si="7"/>
        <v>0.95833333333333337</v>
      </c>
      <c r="AE23" s="327">
        <f t="shared" si="8"/>
        <v>17</v>
      </c>
      <c r="AF23" s="328">
        <f t="shared" si="9"/>
        <v>94.444444444444443</v>
      </c>
      <c r="AG23" s="327">
        <f t="shared" si="10"/>
        <v>6</v>
      </c>
      <c r="AH23" s="329">
        <f t="shared" si="11"/>
        <v>100</v>
      </c>
      <c r="AI23" s="456" t="str">
        <f t="shared" si="12"/>
        <v>ВЫСОКИЙ</v>
      </c>
      <c r="AJ23" s="446">
        <f t="shared" si="13"/>
        <v>16.614705882352936</v>
      </c>
      <c r="AK23" s="447">
        <f t="shared" si="14"/>
        <v>0.69227941176470575</v>
      </c>
      <c r="AL23" s="445">
        <v>9</v>
      </c>
      <c r="AM23" s="446">
        <f t="shared" si="15"/>
        <v>77.287581699346404</v>
      </c>
      <c r="AN23" s="442">
        <f>IF($A23=1,IF(OR(AND($E23=1,'Ответы учащихся'!W23=0.4),AND($E23=2,'Ответы учащихся'!W23=0.4),AND($E23=3,'Ответы учащихся'!W23=0.4),AND($E23=4,'Ответы учащихся'!W23=0.4)),1,IF('Ответы учащихся'!W23="N",'Ответы учащихся'!W23,0)),"")</f>
        <v>1</v>
      </c>
      <c r="AO23" s="434">
        <f>IF($A23=1,IF(OR(AND($E23=1,'Ответы учащихся'!X23=0.4),AND($E23=2,'Ответы учащихся'!X23=0.4),AND($E23=3,'Ответы учащихся'!X23=0.4),AND($E23=4,'Ответы учащихся'!X23=0.4)),1,IF('Ответы учащихся'!X23="N",'Ответы учащихся'!X23,0)),"")</f>
        <v>1</v>
      </c>
      <c r="AP23" s="434">
        <f>IF($A23=1,IF(OR(AND($E23=1,'Ответы учащихся'!Y23=0.4),AND($E23=2,'Ответы учащихся'!Y23=0.4),AND($E23=3,'Ответы учащихся'!Y23=0.4),AND($E23=4,'Ответы учащихся'!Y23=0.4)),1,IF('Ответы учащихся'!Y23="N",'Ответы учащихся'!Y23,0)),"")</f>
        <v>1</v>
      </c>
      <c r="AQ23" s="434">
        <f>IF($A23=1,IF(OR(AND($E23=1,'Ответы учащихся'!Z23=0.4),AND($E23=2,'Ответы учащихся'!Z23=0.4),AND($E23=3,'Ответы учащихся'!Z23=0.4),AND($E23=4,'Ответы учащихся'!Z23=0.4)),1,IF('Ответы учащихся'!Z23="N",'Ответы учащихся'!Z23,0)),"")</f>
        <v>1</v>
      </c>
      <c r="AR23" s="434">
        <f>IF($A23=1,IF(OR(AND($E23=1,'Ответы учащихся'!AA23=0.4),AND($E23=2,'Ответы учащихся'!AA23=0.4),AND($E23=3,'Ответы учащихся'!AA23=0.4),AND($E23=4,'Ответы учащихся'!AA23=0.4)),1,IF('Ответы учащихся'!AA23="N",'Ответы учащихся'!AA23,0)),"")</f>
        <v>1</v>
      </c>
      <c r="AS23" s="435">
        <f>IF($A23=1,IF(OR(AND($E23=1,'Ответы учащихся'!AB23=0.5),AND($E23=2,'Ответы учащихся'!AB23=0.5),AND($E23=3,'Ответы учащихся'!AB23=0.5),AND($E23=4,'Ответы учащихся'!AB23=0.5)),1,IF('Ответы учащихся'!AB23="N",'Ответы учащихся'!AB23,0)),"")</f>
        <v>1</v>
      </c>
      <c r="AT23" s="435">
        <f>IF($A23=1,IF(OR(AND($E23=1,'Ответы учащихся'!AC23=0.5),AND($E23=2,'Ответы учащихся'!AC23=0.5),AND($E23=3,'Ответы учащихся'!AC23=0.5),AND($E23=4,'Ответы учащихся'!AC23=0.5)),1,IF('Ответы учащихся'!AC23="N",'Ответы учащихся'!AC23,0)),"")</f>
        <v>1</v>
      </c>
      <c r="AU23" s="435">
        <f>IF($A23=1,IF(OR(AND($E23=1,'Ответы учащихся'!AD23=0.5),AND($E23=2,'Ответы учащихся'!AD23=0.5),AND($E23=3,'Ответы учащихся'!AD23=0.5),AND($E23=4,'Ответы учащихся'!AD23=0.5)),1,IF('Ответы учащихся'!AD23="N",'Ответы учащихся'!AD23,0)),"")</f>
        <v>1</v>
      </c>
      <c r="AV23" s="435">
        <f>IF($A23=1,IF(OR(AND($E23=1,'Ответы учащихся'!AE23=0.5),AND($E23=2,'Ответы учащихся'!AE23=0.5),AND($E23=3,'Ответы учащихся'!AE23=0.5),AND($E23=4,'Ответы учащихся'!AE23=0.5)),1,IF('Ответы учащихся'!AE23="N",'Ответы учащихся'!AE23,0)),"")</f>
        <v>1</v>
      </c>
      <c r="AW23" s="436">
        <f>IF($A23=1,IF(OR(AND($E23=1,'Ответы учащихся'!AF23=0.5),AND($E23=2,'Ответы учащихся'!AF23=0.5),AND($E23=3,'Ответы учащихся'!AF23=0.5),AND($E23=4,'Ответы учащихся'!AF23=0.5)),1,IF('Ответы учащихся'!AF23="N",'Ответы учащихся'!AF23,0)),"")</f>
        <v>1</v>
      </c>
      <c r="AX23" s="436">
        <f>IF($A23=1,IF(OR(AND($E23=1,'Ответы учащихся'!AG23=0.5),AND($E23=2,'Ответы учащихся'!AG23=0.5),AND($E23=3,'Ответы учащихся'!AG23=0.5),AND($E23=4,'Ответы учащихся'!AG23=0.5)),1,IF('Ответы учащихся'!AG23="N",'Ответы учащихся'!AG23,0)),"")</f>
        <v>1</v>
      </c>
      <c r="AY23" s="436">
        <f>IF($A23=1,IF(OR(AND($E23=1,'Ответы учащихся'!AH23=0.5),AND($E23=2,'Ответы учащихся'!AH23=0.5),AND($E23=3,'Ответы учащихся'!AH23=0.5),AND($E23=4,'Ответы учащихся'!AH23=0.5)),1,IF('Ответы учащихся'!AH23="N",'Ответы учащихся'!AH23,0)),"")</f>
        <v>1</v>
      </c>
      <c r="AZ23" s="436">
        <f>IF($A23=1,IF(OR(AND($E23=1,'Ответы учащихся'!AI23=0.5),AND($E23=2,'Ответы учащихся'!AI23=0.5),AND($E23=3,'Ответы учащихся'!AI23=0.5),AND($E23=4,'Ответы учащихся'!AI23=0.5)),1,IF('Ответы учащихся'!AI23="N",'Ответы учащихся'!AI23,0)),"")</f>
        <v>1</v>
      </c>
      <c r="BA23" s="439">
        <f>SUM(F18:N18)</f>
        <v>49</v>
      </c>
      <c r="BB23" s="438">
        <f>Y19+AA19</f>
        <v>23</v>
      </c>
      <c r="BC23" s="429">
        <f>R17+S17+T17</f>
        <v>53</v>
      </c>
      <c r="BD23" s="429"/>
      <c r="BE23" s="419"/>
      <c r="BF23" s="419"/>
      <c r="BG23" s="6"/>
      <c r="BH23" s="6"/>
      <c r="BI23" s="6"/>
      <c r="BJ23" s="6"/>
    </row>
    <row r="24" spans="1:62" ht="12.75" customHeight="1" x14ac:dyDescent="0.2">
      <c r="A24" s="12">
        <f>IF('СПИСОК КЛАССА'!J24&gt;0,1,0)</f>
        <v>1</v>
      </c>
      <c r="B24" s="100">
        <v>5</v>
      </c>
      <c r="C24" s="101">
        <f>IF(NOT(ISBLANK('СПИСОК КЛАССА'!C24)),'СПИСОК КЛАССА'!C24,"")</f>
        <v>5</v>
      </c>
      <c r="D24" s="134" t="str">
        <f>IF(NOT(ISBLANK('СПИСОК КЛАССА'!D24)),IF($A24=1,'СПИСОК КЛАССА'!D24, "УЧЕНИК НЕ ВЫПОЛНЯЛ РАБОТУ"),"")</f>
        <v/>
      </c>
      <c r="E24" s="459">
        <f>IF($C24&lt;&gt;"",'СПИСОК КЛАССА'!J24,"")</f>
        <v>1</v>
      </c>
      <c r="F24" s="133">
        <f>IF(AND(OR($C24&lt;&gt;"",$D24&lt;&gt;""),$A24=1,$AI$2="ДА"),'Ответы учащихся'!E24,"")</f>
        <v>0</v>
      </c>
      <c r="G24" s="102">
        <f>IF(AND(OR($C24&lt;&gt;"",$D24&lt;&gt;""),$A24=1,$AI$2="ДА"),(IF($A24=1,IF(OR(AND($E24=1,'Ответы учащихся'!F24=2),AND($E24=2,'Ответы учащихся'!F24=4),AND($E24=3,OR('Ответы учащихся'!F24=3,'Ответы учащихся'!F24=4)),AND($E24=4,'Ответы учащихся'!F24=1)),1,IF('Ответы учащихся'!F24="N",'Ответы учащихся'!F24,0)),"")),"")</f>
        <v>1</v>
      </c>
      <c r="H24" s="102">
        <f>IF(AND(OR($C24&lt;&gt;"",$D24&lt;&gt;""),$A24=1,$AI$2="ДА"),(IF($A24=1,IF(OR(AND($E24=1,'Ответы учащихся'!G24=1),AND($E24=2,'Ответы учащихся'!G24=3),AND($E24=3,'Ответы учащихся'!G24=3),AND($E24=4,'Ответы учащихся'!G24=3)),1,IF('Ответы учащихся'!G24="N",'Ответы учащихся'!G24,0)),"")),"")</f>
        <v>1</v>
      </c>
      <c r="I24" s="102">
        <f>IF(AND(OR($C24&lt;&gt;"",$D24&lt;&gt;""),$A24=1,$AI$2="ДА"),(IF($A24=1,IF(OR(AND($E24=1,'Ответы учащихся'!H24=-6),AND($E24=2,'Ответы учащихся'!H24=3),AND($E24=3,'Ответы учащихся'!H24=-8),AND($E24=4,'Ответы учащихся'!H24=-6)),1,IF('Ответы учащихся'!H24="N",'Ответы учащихся'!H24,0)),"")),"")</f>
        <v>1</v>
      </c>
      <c r="J24" s="102">
        <f>IF(AND(OR($C24&lt;&gt;"",$D24&lt;&gt;""),$A24=1,$AI$2="ДА"),(IF($A24=1,IF(OR(AND($E24=1,'Ответы учащихся'!I24=3412),AND($E24=2,'Ответы учащихся'!I24=2314),AND($E24=3,'Ответы учащихся'!I24=3142),AND($E24=4,'Ответы учащихся'!I24=1234)),1,IF('Ответы учащихся'!I24="N",'Ответы учащихся'!I24,0)),"")),"")</f>
        <v>1</v>
      </c>
      <c r="K24" s="102">
        <f>IF(AND(OR($C24&lt;&gt;"",$D24&lt;&gt;""),$A24=1,$AI$2="ДА"),(IF($A24=1,IF(OR(AND($E24=1,'Ответы учащихся'!J24=390),AND($E24=2,'Ответы учащихся'!J24=273),AND($E24=3,'Ответы учащихся'!J24=205),AND($E24=4,'Ответы учащихся'!J24=240)),1,IF('Ответы учащихся'!J24="N",'Ответы учащихся'!J24,0)),"")),"")</f>
        <v>0</v>
      </c>
      <c r="L24" s="102">
        <f>IF(AND(OR($C24&lt;&gt;"",$D24&lt;&gt;""),$A24=1,$AI$2="ДА"),(IF($A24=1,IF(OR(AND($E24=1,'Ответы учащихся'!K24=1),AND($E24=2,'Ответы учащихся'!K24=2),AND($E24=3,'Ответы учащихся'!K24=4),AND($E24=4,'Ответы учащихся'!K24=3)),1,IF('Ответы учащихся'!K24="N",'Ответы учащихся'!K24,0)),"")),"")</f>
        <v>1</v>
      </c>
      <c r="M24" s="102">
        <f>IF(AND(OR($C24&lt;&gt;"",$D24&lt;&gt;""),$A24=1,$AI$2="ДА"),(IF($A24=1,IF(OR(AND($E24=1,'Ответы учащихся'!L24=3),AND($E24=2,'Ответы учащихся'!L24=1),AND($E24=3,'Ответы учащихся'!L24=4),AND($E24=4,'Ответы учащихся'!L24=2)),1,IF('Ответы учащихся'!L24="N",'Ответы учащихся'!L24,0)),"")),"")</f>
        <v>0</v>
      </c>
      <c r="N24" s="102">
        <f>IF(AND(OR($C24&lt;&gt;"",$D24&lt;&gt;""),$A24=1,$AI$2="ДА"),'Ответы учащихся'!M24,"")</f>
        <v>0</v>
      </c>
      <c r="O24" s="102">
        <f>IF(AND(OR($C24&lt;&gt;"",$D24&lt;&gt;""),$A24=1,$AI$2="ДА"),(IF($A24=1,IF(OR(AND($E24=1,'Ответы учащихся'!N24=3),AND($E24=2,'Ответы учащихся'!N24=2),AND($E24=3,'Ответы учащихся'!N24=4),AND($E24=4,'Ответы учащихся'!N24=1)),1,IF('Ответы учащихся'!N24="N",'Ответы учащихся'!N24,0)),"")),"")</f>
        <v>1</v>
      </c>
      <c r="P24" s="102">
        <f>IF(AND(OR($C24&lt;&gt;"",$D24&lt;&gt;""),$A24=1,$AI$2="ДА"),(IF($A24=1,IF(OR(AND($E24=1,'Ответы учащихся'!O24="БВ"),AND($E24=2,'Ответы учащихся'!O24="АВГ"),AND($E24=3,'Ответы учащихся'!O24="БВГ"),AND($E24=4,'Ответы учащихся'!O24="АВ")),1,IF('Ответы учащихся'!O24="N",'Ответы учащихся'!O24,0)),"")),"")</f>
        <v>0</v>
      </c>
      <c r="Q24" s="102">
        <f>IF(AND(OR($C24&lt;&gt;"",$D24&lt;&gt;""),$A24=1,$AI$2="ДА"),(IF($A24=1,IF(OR(AND($E24=1,'Ответы учащихся'!P24=2351),AND($E24=2,'Ответы учащихся'!P24=4132),AND($E24=3,'Ответы учащихся'!P24=3412),AND($E24=4,'Ответы учащихся'!P24=3125)),1,IF('Ответы учащихся'!P24="N",'Ответы учащихся'!P24,0)),"")),"")</f>
        <v>1</v>
      </c>
      <c r="R24" s="102">
        <f>IF(AND(OR($C24&lt;&gt;"",$D24&lt;&gt;""),$A24=1,$AI$2="ДА"),(IF($A24=1,IF(OR(AND($E24=1,'Ответы учащихся'!Q24=2),AND($E24=2,'Ответы учащихся'!Q24=9),AND($E24=3,'Ответы учащихся'!Q24=5),AND($E24=4,'Ответы учащихся'!Q24=2)),1,IF('Ответы учащихся'!Q24="N",'Ответы учащихся'!Q24,0)),"")),"")</f>
        <v>1</v>
      </c>
      <c r="S24" s="102">
        <f>IF(AND(OR($C24&lt;&gt;"",$D24&lt;&gt;""),$A24=1,$AI$2="ДА"),(IF($A24=1,IF(OR(AND($E24=1,'Ответы учащихся'!R24=35),AND($E24=2,'Ответы учащихся'!R24=74),AND($E24=3,'Ответы учащихся'!R24=72),AND($E24=4,'Ответы учащихся'!R24=66)),1,IF('Ответы учащихся'!R24="N",'Ответы учащихся'!R24,0)),"")),"")</f>
        <v>1</v>
      </c>
      <c r="T24" s="102">
        <f>IF(AND(OR($C24&lt;&gt;"",$D24&lt;&gt;""),$A24=1,$AI$2="ДА"),(IF($A24=1,IF(OR(AND($E24=1,'Ответы учащихся'!S24=60),AND($E24=2,'Ответы учащихся'!S24=40),AND($E24=3,'Ответы учащихся'!S24=30),AND($E24=4,'Ответы учащихся'!S24=18)),1,IF('Ответы учащихся'!S24="N",'Ответы учащихся'!S24,0)),"")),"")</f>
        <v>0</v>
      </c>
      <c r="U24" s="102">
        <f>IF(AND(OR($C24&lt;&gt;"",$D24&lt;&gt;""),$A24=1,$AI$2="ДА"),(IF($A24=1,IF(OR(AND($E24=1,'Ответы учащихся'!T24=3),AND($E24=2,'Ответы учащихся'!T24=4),AND($E24=3,'Ответы учащихся'!T24=2),AND($E24=4,'Ответы учащихся'!T24=3)),1,IF('Ответы учащихся'!T24="N",'Ответы учащихся'!T24,0)),"")),"")</f>
        <v>1</v>
      </c>
      <c r="V24" s="102">
        <f>IF(AND(OR($C24&lt;&gt;"",$D24&lt;&gt;""),$A24=1,$AI$2="ДА"),(IF($A24=1,IF(OR(AND($E24=1,'Ответы учащихся'!U24=11),AND($E24=2,'Ответы учащихся'!U24=14),AND($E24=3,'Ответы учащихся'!U24=-2),AND($E24=4,'Ответы учащихся'!U24=25)),1,IF('Ответы учащихся'!U24="N",'Ответы учащихся'!U24,0)),"")),"")</f>
        <v>1</v>
      </c>
      <c r="W24" s="102">
        <f>IF(AND(OR($C24&lt;&gt;"",$D24&lt;&gt;""),$A24=1,$AI$2="ДА"),(IF($A24=1,IF(OR(AND($E24=1,'Ответы учащихся'!V24=3000),AND($E24=2,'Ответы учащихся'!V24=2500),AND($E24=3,'Ответы учащихся'!V24=1500),AND($E24=4,'Ответы учащихся'!V24=1500)),1,IF('Ответы учащихся'!V24="N",'Ответы учащихся'!V24,0)),"")),"")</f>
        <v>1</v>
      </c>
      <c r="X24" s="102"/>
      <c r="Y24" s="102">
        <f>IF(AND(OR($C24&lt;&gt;"",$D24&lt;&gt;""),$A24=1,$AI$2="ДА"),(IF($A24=1,IF(AND('Ответы учащихся'!$W24&lt;&gt;"N",'Ответы учащихся'!$X24&lt;&gt;"N",'Ответы учащихся'!$Y24&lt;&gt;"N",'Ответы учащихся'!$Z24&lt;&gt;"N",'Ответы учащихся'!$AA24&lt;&gt;"N"),(SUM('Ответы учащихся'!$W24:$AA24)),"N"),"")),"")</f>
        <v>0.8</v>
      </c>
      <c r="Z24" s="102"/>
      <c r="AA24" s="102" t="str">
        <f>IF(AND(OR($C24&lt;&gt;"",$D24&lt;&gt;""),$A24=1,$AI$2="ДА"),(IF($A24=1,IF(AND('Ответы учащихся'!$AB24&lt;&gt;"N",'Ответы учащихся'!$AC24&lt;&gt;"N",'Ответы учащихся'!$AD24&lt;&gt;"N",'Ответы учащихся'!$AE24&lt;&gt;"N"),(SUM('Ответы учащихся'!$AB24:$AE24)),"N"),"")),"")</f>
        <v>N</v>
      </c>
      <c r="AB24" s="289" t="str">
        <f>IF(AND(OR($C24&lt;&gt;"",$D24&lt;&gt;""),$A24=1,$AI$2="ДА"),(IF($A24=1,IF(AND('Ответы учащихся'!$AF24&lt;&gt;"N",'Ответы учащихся'!$AG24&lt;&gt;"N",'Ответы учащихся'!$AH24&lt;&gt;"N",'Ответы учащихся'!$AI24&lt;&gt;"N"),(SUM('Ответы учащихся'!$AF24:$AI24)),"N"),"")),"")</f>
        <v>N</v>
      </c>
      <c r="AC24" s="468">
        <f t="shared" si="6"/>
        <v>12.8</v>
      </c>
      <c r="AD24" s="326">
        <f t="shared" si="7"/>
        <v>0.53333333333333333</v>
      </c>
      <c r="AE24" s="327">
        <f t="shared" si="8"/>
        <v>12</v>
      </c>
      <c r="AF24" s="328">
        <f t="shared" si="9"/>
        <v>66.666666666666657</v>
      </c>
      <c r="AG24" s="327">
        <f t="shared" si="10"/>
        <v>0.8</v>
      </c>
      <c r="AH24" s="329">
        <f t="shared" si="11"/>
        <v>13.333333333333334</v>
      </c>
      <c r="AI24" s="456" t="str">
        <f t="shared" si="12"/>
        <v>БАЗОВЫЙ</v>
      </c>
      <c r="AJ24" s="446">
        <f t="shared" si="13"/>
        <v>16.614705882352936</v>
      </c>
      <c r="AK24" s="447">
        <f t="shared" si="14"/>
        <v>0.69227941176470575</v>
      </c>
      <c r="AL24" s="445">
        <v>9</v>
      </c>
      <c r="AM24" s="446">
        <f t="shared" si="15"/>
        <v>77.287581699346404</v>
      </c>
      <c r="AN24" s="442">
        <f>IF($A24=1,IF(OR(AND($E24=1,'Ответы учащихся'!W24=0.4),AND($E24=2,'Ответы учащихся'!W24=0.4),AND($E24=3,'Ответы учащихся'!W24=0.4),AND($E24=4,'Ответы учащихся'!W24=0.4)),1,IF('Ответы учащихся'!W24="N",'Ответы учащихся'!W24,0)),"")</f>
        <v>1</v>
      </c>
      <c r="AO24" s="434">
        <f>IF($A24=1,IF(OR(AND($E24=1,'Ответы учащихся'!X24=0.4),AND($E24=2,'Ответы учащихся'!X24=0.4),AND($E24=3,'Ответы учащихся'!X24=0.4),AND($E24=4,'Ответы учащихся'!X24=0.4)),1,IF('Ответы учащихся'!X24="N",'Ответы учащихся'!X24,0)),"")</f>
        <v>1</v>
      </c>
      <c r="AP24" s="434">
        <f>IF($A24=1,IF(OR(AND($E24=1,'Ответы учащихся'!Y24=0.4),AND($E24=2,'Ответы учащихся'!Y24=0.4),AND($E24=3,'Ответы учащихся'!Y24=0.4),AND($E24=4,'Ответы учащихся'!Y24=0.4)),1,IF('Ответы учащихся'!Y24="N",'Ответы учащихся'!Y24,0)),"")</f>
        <v>0</v>
      </c>
      <c r="AQ24" s="434">
        <f>IF($A24=1,IF(OR(AND($E24=1,'Ответы учащихся'!Z24=0.4),AND($E24=2,'Ответы учащихся'!Z24=0.4),AND($E24=3,'Ответы учащихся'!Z24=0.4),AND($E24=4,'Ответы учащихся'!Z24=0.4)),1,IF('Ответы учащихся'!Z24="N",'Ответы учащихся'!Z24,0)),"")</f>
        <v>0</v>
      </c>
      <c r="AR24" s="434">
        <f>IF($A24=1,IF(OR(AND($E24=1,'Ответы учащихся'!AA24=0.4),AND($E24=2,'Ответы учащихся'!AA24=0.4),AND($E24=3,'Ответы учащихся'!AA24=0.4),AND($E24=4,'Ответы учащихся'!AA24=0.4)),1,IF('Ответы учащихся'!AA24="N",'Ответы учащихся'!AA24,0)),"")</f>
        <v>0</v>
      </c>
      <c r="AS24" s="435" t="str">
        <f>IF($A24=1,IF(OR(AND($E24=1,'Ответы учащихся'!AB24=0.5),AND($E24=2,'Ответы учащихся'!AB24=0.5),AND($E24=3,'Ответы учащихся'!AB24=0.5),AND($E24=4,'Ответы учащихся'!AB24=0.5)),1,IF('Ответы учащихся'!AB24="N",'Ответы учащихся'!AB24,0)),"")</f>
        <v>N</v>
      </c>
      <c r="AT24" s="435" t="str">
        <f>IF($A24=1,IF(OR(AND($E24=1,'Ответы учащихся'!AC24=0.5),AND($E24=2,'Ответы учащихся'!AC24=0.5),AND($E24=3,'Ответы учащихся'!AC24=0.5),AND($E24=4,'Ответы учащихся'!AC24=0.5)),1,IF('Ответы учащихся'!AC24="N",'Ответы учащихся'!AC24,0)),"")</f>
        <v>N</v>
      </c>
      <c r="AU24" s="435" t="str">
        <f>IF($A24=1,IF(OR(AND($E24=1,'Ответы учащихся'!AD24=0.5),AND($E24=2,'Ответы учащихся'!AD24=0.5),AND($E24=3,'Ответы учащихся'!AD24=0.5),AND($E24=4,'Ответы учащихся'!AD24=0.5)),1,IF('Ответы учащихся'!AD24="N",'Ответы учащихся'!AD24,0)),"")</f>
        <v>N</v>
      </c>
      <c r="AV24" s="435" t="str">
        <f>IF($A24=1,IF(OR(AND($E24=1,'Ответы учащихся'!AE24=0.5),AND($E24=2,'Ответы учащихся'!AE24=0.5),AND($E24=3,'Ответы учащихся'!AE24=0.5),AND($E24=4,'Ответы учащихся'!AE24=0.5)),1,IF('Ответы учащихся'!AE24="N",'Ответы учащихся'!AE24,0)),"")</f>
        <v>N</v>
      </c>
      <c r="AW24" s="436" t="str">
        <f>IF($A24=1,IF(OR(AND($E24=1,'Ответы учащихся'!AF24=0.5),AND($E24=2,'Ответы учащихся'!AF24=0.5),AND($E24=3,'Ответы учащихся'!AF24=0.5),AND($E24=4,'Ответы учащихся'!AF24=0.5)),1,IF('Ответы учащихся'!AF24="N",'Ответы учащихся'!AF24,0)),"")</f>
        <v>N</v>
      </c>
      <c r="AX24" s="436" t="str">
        <f>IF($A24=1,IF(OR(AND($E24=1,'Ответы учащихся'!AG24=0.5),AND($E24=2,'Ответы учащихся'!AG24=0.5),AND($E24=3,'Ответы учащихся'!AG24=0.5),AND($E24=4,'Ответы учащихся'!AG24=0.5)),1,IF('Ответы учащихся'!AG24="N",'Ответы учащихся'!AG24,0)),"")</f>
        <v>N</v>
      </c>
      <c r="AY24" s="436" t="str">
        <f>IF($A24=1,IF(OR(AND($E24=1,'Ответы учащихся'!AH24=0.5),AND($E24=2,'Ответы учащихся'!AH24=0.5),AND($E24=3,'Ответы учащихся'!AH24=0.5),AND($E24=4,'Ответы учащихся'!AH24=0.5)),1,IF('Ответы учащихся'!AH24="N",'Ответы учащихся'!AH24,0)),"")</f>
        <v>N</v>
      </c>
      <c r="AZ24" s="436" t="str">
        <f>IF($A24=1,IF(OR(AND($E24=1,'Ответы учащихся'!AI24=0.5),AND($E24=2,'Ответы учащихся'!AI24=0.5),AND($E24=3,'Ответы учащихся'!AI24=0.5),AND($E24=4,'Ответы учащихся'!AI24=0.5)),1,IF('Ответы учащихся'!AI24="N",'Ответы учащихся'!AI24,0)),"")</f>
        <v>N</v>
      </c>
      <c r="BA24" s="439">
        <f>SUM(O18:T18)</f>
        <v>64</v>
      </c>
      <c r="BB24" s="429"/>
      <c r="BC24" s="429">
        <f>R18+S18+T18</f>
        <v>40</v>
      </c>
      <c r="BD24" s="429"/>
      <c r="BE24" s="419"/>
      <c r="BF24" s="419"/>
      <c r="BG24" s="6"/>
      <c r="BH24" s="6"/>
      <c r="BI24" s="6"/>
      <c r="BJ24" s="6"/>
    </row>
    <row r="25" spans="1:62" ht="12.75" customHeight="1" x14ac:dyDescent="0.2">
      <c r="A25" s="12">
        <f>IF('СПИСОК КЛАССА'!J25&gt;0,1,0)</f>
        <v>1</v>
      </c>
      <c r="B25" s="100">
        <v>6</v>
      </c>
      <c r="C25" s="101">
        <f>IF(NOT(ISBLANK('СПИСОК КЛАССА'!C25)),'СПИСОК КЛАССА'!C25,"")</f>
        <v>6</v>
      </c>
      <c r="D25" s="134" t="str">
        <f>IF(NOT(ISBLANK('СПИСОК КЛАССА'!D25)),IF($A25=1,'СПИСОК КЛАССА'!D25, "УЧЕНИК НЕ ВЫПОЛНЯЛ РАБОТУ"),"")</f>
        <v/>
      </c>
      <c r="E25" s="459">
        <f>IF($C25&lt;&gt;"",'СПИСОК КЛАССА'!J25,"")</f>
        <v>1</v>
      </c>
      <c r="F25" s="133">
        <f>IF(AND(OR($C25&lt;&gt;"",$D25&lt;&gt;""),$A25=1,$AI$2="ДА"),'Ответы учащихся'!E25,"")</f>
        <v>1</v>
      </c>
      <c r="G25" s="102">
        <f>IF(AND(OR($C25&lt;&gt;"",$D25&lt;&gt;""),$A25=1,$AI$2="ДА"),(IF($A25=1,IF(OR(AND($E25=1,'Ответы учащихся'!F25=2),AND($E25=2,'Ответы учащихся'!F25=4),AND($E25=3,OR('Ответы учащихся'!F25=3,'Ответы учащихся'!F25=4)),AND($E25=4,'Ответы учащихся'!F25=1)),1,IF('Ответы учащихся'!F25="N",'Ответы учащихся'!F25,0)),"")),"")</f>
        <v>1</v>
      </c>
      <c r="H25" s="102">
        <f>IF(AND(OR($C25&lt;&gt;"",$D25&lt;&gt;""),$A25=1,$AI$2="ДА"),(IF($A25=1,IF(OR(AND($E25=1,'Ответы учащихся'!G25=1),AND($E25=2,'Ответы учащихся'!G25=3),AND($E25=3,'Ответы учащихся'!G25=3),AND($E25=4,'Ответы учащихся'!G25=3)),1,IF('Ответы учащихся'!G25="N",'Ответы учащихся'!G25,0)),"")),"")</f>
        <v>1</v>
      </c>
      <c r="I25" s="102">
        <f>IF(AND(OR($C25&lt;&gt;"",$D25&lt;&gt;""),$A25=1,$AI$2="ДА"),(IF($A25=1,IF(OR(AND($E25=1,'Ответы учащихся'!H25=-6),AND($E25=2,'Ответы учащихся'!H25=3),AND($E25=3,'Ответы учащихся'!H25=-8),AND($E25=4,'Ответы учащихся'!H25=-6)),1,IF('Ответы учащихся'!H25="N",'Ответы учащихся'!H25,0)),"")),"")</f>
        <v>1</v>
      </c>
      <c r="J25" s="102">
        <f>IF(AND(OR($C25&lt;&gt;"",$D25&lt;&gt;""),$A25=1,$AI$2="ДА"),(IF($A25=1,IF(OR(AND($E25=1,'Ответы учащихся'!I25=3412),AND($E25=2,'Ответы учащихся'!I25=2314),AND($E25=3,'Ответы учащихся'!I25=3142),AND($E25=4,'Ответы учащихся'!I25=1234)),1,IF('Ответы учащихся'!I25="N",'Ответы учащихся'!I25,0)),"")),"")</f>
        <v>1</v>
      </c>
      <c r="K25" s="102">
        <f>IF(AND(OR($C25&lt;&gt;"",$D25&lt;&gt;""),$A25=1,$AI$2="ДА"),(IF($A25=1,IF(OR(AND($E25=1,'Ответы учащихся'!J25=390),AND($E25=2,'Ответы учащихся'!J25=273),AND($E25=3,'Ответы учащихся'!J25=205),AND($E25=4,'Ответы учащихся'!J25=240)),1,IF('Ответы учащихся'!J25="N",'Ответы учащихся'!J25,0)),"")),"")</f>
        <v>1</v>
      </c>
      <c r="L25" s="102">
        <f>IF(AND(OR($C25&lt;&gt;"",$D25&lt;&gt;""),$A25=1,$AI$2="ДА"),(IF($A25=1,IF(OR(AND($E25=1,'Ответы учащихся'!K25=1),AND($E25=2,'Ответы учащихся'!K25=2),AND($E25=3,'Ответы учащихся'!K25=4),AND($E25=4,'Ответы учащихся'!K25=3)),1,IF('Ответы учащихся'!K25="N",'Ответы учащихся'!K25,0)),"")),"")</f>
        <v>1</v>
      </c>
      <c r="M25" s="102">
        <f>IF(AND(OR($C25&lt;&gt;"",$D25&lt;&gt;""),$A25=1,$AI$2="ДА"),(IF($A25=1,IF(OR(AND($E25=1,'Ответы учащихся'!L25=3),AND($E25=2,'Ответы учащихся'!L25=1),AND($E25=3,'Ответы учащихся'!L25=4),AND($E25=4,'Ответы учащихся'!L25=2)),1,IF('Ответы учащихся'!L25="N",'Ответы учащихся'!L25,0)),"")),"")</f>
        <v>1</v>
      </c>
      <c r="N25" s="102" t="str">
        <f>IF(AND(OR($C25&lt;&gt;"",$D25&lt;&gt;""),$A25=1,$AI$2="ДА"),'Ответы учащихся'!M25,"")</f>
        <v>N</v>
      </c>
      <c r="O25" s="102">
        <f>IF(AND(OR($C25&lt;&gt;"",$D25&lt;&gt;""),$A25=1,$AI$2="ДА"),(IF($A25=1,IF(OR(AND($E25=1,'Ответы учащихся'!N25=3),AND($E25=2,'Ответы учащихся'!N25=2),AND($E25=3,'Ответы учащихся'!N25=4),AND($E25=4,'Ответы учащихся'!N25=1)),1,IF('Ответы учащихся'!N25="N",'Ответы учащихся'!N25,0)),"")),"")</f>
        <v>1</v>
      </c>
      <c r="P25" s="102">
        <f>IF(AND(OR($C25&lt;&gt;"",$D25&lt;&gt;""),$A25=1,$AI$2="ДА"),(IF($A25=1,IF(OR(AND($E25=1,'Ответы учащихся'!O25="БВ"),AND($E25=2,'Ответы учащихся'!O25="АВГ"),AND($E25=3,'Ответы учащихся'!O25="БВГ"),AND($E25=4,'Ответы учащихся'!O25="АВ")),1,IF('Ответы учащихся'!O25="N",'Ответы учащихся'!O25,0)),"")),"")</f>
        <v>1</v>
      </c>
      <c r="Q25" s="102">
        <f>IF(AND(OR($C25&lt;&gt;"",$D25&lt;&gt;""),$A25=1,$AI$2="ДА"),(IF($A25=1,IF(OR(AND($E25=1,'Ответы учащихся'!P25=2351),AND($E25=2,'Ответы учащихся'!P25=4132),AND($E25=3,'Ответы учащихся'!P25=3412),AND($E25=4,'Ответы учащихся'!P25=3125)),1,IF('Ответы учащихся'!P25="N",'Ответы учащихся'!P25,0)),"")),"")</f>
        <v>0</v>
      </c>
      <c r="R25" s="102">
        <f>IF(AND(OR($C25&lt;&gt;"",$D25&lt;&gt;""),$A25=1,$AI$2="ДА"),(IF($A25=1,IF(OR(AND($E25=1,'Ответы учащихся'!Q25=2),AND($E25=2,'Ответы учащихся'!Q25=9),AND($E25=3,'Ответы учащихся'!Q25=5),AND($E25=4,'Ответы учащихся'!Q25=2)),1,IF('Ответы учащихся'!Q25="N",'Ответы учащихся'!Q25,0)),"")),"")</f>
        <v>1</v>
      </c>
      <c r="S25" s="102">
        <f>IF(AND(OR($C25&lt;&gt;"",$D25&lt;&gt;""),$A25=1,$AI$2="ДА"),(IF($A25=1,IF(OR(AND($E25=1,'Ответы учащихся'!R25=35),AND($E25=2,'Ответы учащихся'!R25=74),AND($E25=3,'Ответы учащихся'!R25=72),AND($E25=4,'Ответы учащихся'!R25=66)),1,IF('Ответы учащихся'!R25="N",'Ответы учащихся'!R25,0)),"")),"")</f>
        <v>1</v>
      </c>
      <c r="T25" s="102">
        <f>IF(AND(OR($C25&lt;&gt;"",$D25&lt;&gt;""),$A25=1,$AI$2="ДА"),(IF($A25=1,IF(OR(AND($E25=1,'Ответы учащихся'!S25=60),AND($E25=2,'Ответы учащихся'!S25=40),AND($E25=3,'Ответы учащихся'!S25=30),AND($E25=4,'Ответы учащихся'!S25=18)),1,IF('Ответы учащихся'!S25="N",'Ответы учащихся'!S25,0)),"")),"")</f>
        <v>0</v>
      </c>
      <c r="U25" s="102">
        <f>IF(AND(OR($C25&lt;&gt;"",$D25&lt;&gt;""),$A25=1,$AI$2="ДА"),(IF($A25=1,IF(OR(AND($E25=1,'Ответы учащихся'!T25=3),AND($E25=2,'Ответы учащихся'!T25=4),AND($E25=3,'Ответы учащихся'!T25=2),AND($E25=4,'Ответы учащихся'!T25=3)),1,IF('Ответы учащихся'!T25="N",'Ответы учащихся'!T25,0)),"")),"")</f>
        <v>1</v>
      </c>
      <c r="V25" s="102">
        <f>IF(AND(OR($C25&lt;&gt;"",$D25&lt;&gt;""),$A25=1,$AI$2="ДА"),(IF($A25=1,IF(OR(AND($E25=1,'Ответы учащихся'!U25=11),AND($E25=2,'Ответы учащихся'!U25=14),AND($E25=3,'Ответы учащихся'!U25=-2),AND($E25=4,'Ответы учащихся'!U25=25)),1,IF('Ответы учащихся'!U25="N",'Ответы учащихся'!U25,0)),"")),"")</f>
        <v>1</v>
      </c>
      <c r="W25" s="102">
        <f>IF(AND(OR($C25&lt;&gt;"",$D25&lt;&gt;""),$A25=1,$AI$2="ДА"),(IF($A25=1,IF(OR(AND($E25=1,'Ответы учащихся'!V25=3000),AND($E25=2,'Ответы учащихся'!V25=2500),AND($E25=3,'Ответы учащихся'!V25=1500),AND($E25=4,'Ответы учащихся'!V25=1500)),1,IF('Ответы учащихся'!V25="N",'Ответы учащихся'!V25,0)),"")),"")</f>
        <v>1</v>
      </c>
      <c r="X25" s="102"/>
      <c r="Y25" s="102">
        <f>IF(AND(OR($C25&lt;&gt;"",$D25&lt;&gt;""),$A25=1,$AI$2="ДА"),(IF($A25=1,IF(AND('Ответы учащихся'!$W25&lt;&gt;"N",'Ответы учащихся'!$X25&lt;&gt;"N",'Ответы учащихся'!$Y25&lt;&gt;"N",'Ответы учащихся'!$Z25&lt;&gt;"N",'Ответы учащихся'!$AA25&lt;&gt;"N"),(SUM('Ответы учащихся'!$W25:$AA25)),"N"),"")),"")</f>
        <v>2</v>
      </c>
      <c r="Z25" s="102"/>
      <c r="AA25" s="102" t="str">
        <f>IF(AND(OR($C25&lt;&gt;"",$D25&lt;&gt;""),$A25=1,$AI$2="ДА"),(IF($A25=1,IF(AND('Ответы учащихся'!$AB25&lt;&gt;"N",'Ответы учащихся'!$AC25&lt;&gt;"N",'Ответы учащихся'!$AD25&lt;&gt;"N",'Ответы учащихся'!$AE25&lt;&gt;"N"),(SUM('Ответы учащихся'!$AB25:$AE25)),"N"),"")),"")</f>
        <v>N</v>
      </c>
      <c r="AB25" s="289" t="str">
        <f>IF(AND(OR($C25&lt;&gt;"",$D25&lt;&gt;""),$A25=1,$AI$2="ДА"),(IF($A25=1,IF(AND('Ответы учащихся'!$AF25&lt;&gt;"N",'Ответы учащихся'!$AG25&lt;&gt;"N",'Ответы учащихся'!$AH25&lt;&gt;"N",'Ответы учащихся'!$AI25&lt;&gt;"N"),(SUM('Ответы учащихся'!$AF25:$AI25)),"N"),"")),"")</f>
        <v>N</v>
      </c>
      <c r="AC25" s="468">
        <f t="shared" si="6"/>
        <v>17</v>
      </c>
      <c r="AD25" s="326">
        <f t="shared" si="7"/>
        <v>0.70833333333333337</v>
      </c>
      <c r="AE25" s="327">
        <f t="shared" si="8"/>
        <v>15</v>
      </c>
      <c r="AF25" s="328">
        <f t="shared" si="9"/>
        <v>83.333333333333343</v>
      </c>
      <c r="AG25" s="327">
        <f t="shared" si="10"/>
        <v>2</v>
      </c>
      <c r="AH25" s="329">
        <f t="shared" si="11"/>
        <v>33.333333333333329</v>
      </c>
      <c r="AI25" s="456" t="str">
        <f t="shared" si="12"/>
        <v>БАЗОВЫЙ</v>
      </c>
      <c r="AJ25" s="446">
        <f t="shared" si="13"/>
        <v>16.614705882352936</v>
      </c>
      <c r="AK25" s="447">
        <f t="shared" si="14"/>
        <v>0.69227941176470575</v>
      </c>
      <c r="AL25" s="445">
        <v>9</v>
      </c>
      <c r="AM25" s="446">
        <f t="shared" si="15"/>
        <v>77.287581699346404</v>
      </c>
      <c r="AN25" s="442">
        <f>IF($A25=1,IF(OR(AND($E25=1,'Ответы учащихся'!W25=0.4),AND($E25=2,'Ответы учащихся'!W25=0.4),AND($E25=3,'Ответы учащихся'!W25=0.4),AND($E25=4,'Ответы учащихся'!W25=0.4)),1,IF('Ответы учащихся'!W25="N",'Ответы учащихся'!W25,0)),"")</f>
        <v>1</v>
      </c>
      <c r="AO25" s="434">
        <f>IF($A25=1,IF(OR(AND($E25=1,'Ответы учащихся'!X25=0.4),AND($E25=2,'Ответы учащихся'!X25=0.4),AND($E25=3,'Ответы учащихся'!X25=0.4),AND($E25=4,'Ответы учащихся'!X25=0.4)),1,IF('Ответы учащихся'!X25="N",'Ответы учащихся'!X25,0)),"")</f>
        <v>1</v>
      </c>
      <c r="AP25" s="434">
        <f>IF($A25=1,IF(OR(AND($E25=1,'Ответы учащихся'!Y25=0.4),AND($E25=2,'Ответы учащихся'!Y25=0.4),AND($E25=3,'Ответы учащихся'!Y25=0.4),AND($E25=4,'Ответы учащихся'!Y25=0.4)),1,IF('Ответы учащихся'!Y25="N",'Ответы учащихся'!Y25,0)),"")</f>
        <v>1</v>
      </c>
      <c r="AQ25" s="434">
        <f>IF($A25=1,IF(OR(AND($E25=1,'Ответы учащихся'!Z25=0.4),AND($E25=2,'Ответы учащихся'!Z25=0.4),AND($E25=3,'Ответы учащихся'!Z25=0.4),AND($E25=4,'Ответы учащихся'!Z25=0.4)),1,IF('Ответы учащихся'!Z25="N",'Ответы учащихся'!Z25,0)),"")</f>
        <v>1</v>
      </c>
      <c r="AR25" s="434">
        <f>IF($A25=1,IF(OR(AND($E25=1,'Ответы учащихся'!AA25=0.4),AND($E25=2,'Ответы учащихся'!AA25=0.4),AND($E25=3,'Ответы учащихся'!AA25=0.4),AND($E25=4,'Ответы учащихся'!AA25=0.4)),1,IF('Ответы учащихся'!AA25="N",'Ответы учащихся'!AA25,0)),"")</f>
        <v>1</v>
      </c>
      <c r="AS25" s="435" t="str">
        <f>IF($A25=1,IF(OR(AND($E25=1,'Ответы учащихся'!AB25=0.5),AND($E25=2,'Ответы учащихся'!AB25=0.5),AND($E25=3,'Ответы учащихся'!AB25=0.5),AND($E25=4,'Ответы учащихся'!AB25=0.5)),1,IF('Ответы учащихся'!AB25="N",'Ответы учащихся'!AB25,0)),"")</f>
        <v>N</v>
      </c>
      <c r="AT25" s="435" t="str">
        <f>IF($A25=1,IF(OR(AND($E25=1,'Ответы учащихся'!AC25=0.5),AND($E25=2,'Ответы учащихся'!AC25=0.5),AND($E25=3,'Ответы учащихся'!AC25=0.5),AND($E25=4,'Ответы учащихся'!AC25=0.5)),1,IF('Ответы учащихся'!AC25="N",'Ответы учащихся'!AC25,0)),"")</f>
        <v>N</v>
      </c>
      <c r="AU25" s="435" t="str">
        <f>IF($A25=1,IF(OR(AND($E25=1,'Ответы учащихся'!AD25=0.5),AND($E25=2,'Ответы учащихся'!AD25=0.5),AND($E25=3,'Ответы учащихся'!AD25=0.5),AND($E25=4,'Ответы учащихся'!AD25=0.5)),1,IF('Ответы учащихся'!AD25="N",'Ответы учащихся'!AD25,0)),"")</f>
        <v>N</v>
      </c>
      <c r="AV25" s="435" t="str">
        <f>IF($A25=1,IF(OR(AND($E25=1,'Ответы учащихся'!AE25=0.5),AND($E25=2,'Ответы учащихся'!AE25=0.5),AND($E25=3,'Ответы учащихся'!AE25=0.5),AND($E25=4,'Ответы учащихся'!AE25=0.5)),1,IF('Ответы учащихся'!AE25="N",'Ответы учащихся'!AE25,0)),"")</f>
        <v>N</v>
      </c>
      <c r="AW25" s="436" t="str">
        <f>IF($A25=1,IF(OR(AND($E25=1,'Ответы учащихся'!AF25=0.5),AND($E25=2,'Ответы учащихся'!AF25=0.5),AND($E25=3,'Ответы учащихся'!AF25=0.5),AND($E25=4,'Ответы учащихся'!AF25=0.5)),1,IF('Ответы учащихся'!AF25="N",'Ответы учащихся'!AF25,0)),"")</f>
        <v>N</v>
      </c>
      <c r="AX25" s="436" t="str">
        <f>IF($A25=1,IF(OR(AND($E25=1,'Ответы учащихся'!AG25=0.5),AND($E25=2,'Ответы учащихся'!AG25=0.5),AND($E25=3,'Ответы учащихся'!AG25=0.5),AND($E25=4,'Ответы учащихся'!AG25=0.5)),1,IF('Ответы учащихся'!AG25="N",'Ответы учащихся'!AG25,0)),"")</f>
        <v>N</v>
      </c>
      <c r="AY25" s="436" t="str">
        <f>IF($A25=1,IF(OR(AND($E25=1,'Ответы учащихся'!AH25=0.5),AND($E25=2,'Ответы учащихся'!AH25=0.5),AND($E25=3,'Ответы учащихся'!AH25=0.5),AND($E25=4,'Ответы учащихся'!AH25=0.5)),1,IF('Ответы учащихся'!AH25="N",'Ответы учащихся'!AH25,0)),"")</f>
        <v>N</v>
      </c>
      <c r="AZ25" s="436" t="str">
        <f>IF($A25=1,IF(OR(AND($E25=1,'Ответы учащихся'!AI25=0.5),AND($E25=2,'Ответы учащихся'!AI25=0.5),AND($E25=3,'Ответы учащихся'!AI25=0.5),AND($E25=4,'Ответы учащихся'!AI25=0.5)),1,IF('Ответы учащихся'!AI25="N",'Ответы учащихся'!AI25,0)),"")</f>
        <v>N</v>
      </c>
      <c r="BA25" s="439">
        <f>SUM(U18:W18)</f>
        <v>7</v>
      </c>
      <c r="BB25" s="429">
        <f>AB16</f>
        <v>0</v>
      </c>
      <c r="BC25" s="429">
        <f>R19+S19+T19</f>
        <v>9</v>
      </c>
      <c r="BD25" s="429"/>
      <c r="BE25" s="419"/>
      <c r="BF25" s="419"/>
      <c r="BG25" s="6"/>
      <c r="BH25" s="6"/>
      <c r="BI25" s="6"/>
      <c r="BJ25" s="6"/>
    </row>
    <row r="26" spans="1:62" ht="12.75" customHeight="1" x14ac:dyDescent="0.2">
      <c r="A26" s="12">
        <f>IF('СПИСОК КЛАССА'!J26&gt;0,1,0)</f>
        <v>1</v>
      </c>
      <c r="B26" s="100">
        <v>7</v>
      </c>
      <c r="C26" s="101">
        <f>IF(NOT(ISBLANK('СПИСОК КЛАССА'!C26)),'СПИСОК КЛАССА'!C26,"")</f>
        <v>7</v>
      </c>
      <c r="D26" s="134" t="str">
        <f>IF(NOT(ISBLANK('СПИСОК КЛАССА'!D26)),IF($A26=1,'СПИСОК КЛАССА'!D26, "УЧЕНИК НЕ ВЫПОЛНЯЛ РАБОТУ"),"")</f>
        <v/>
      </c>
      <c r="E26" s="459">
        <f>IF($C26&lt;&gt;"",'СПИСОК КЛАССА'!J26,"")</f>
        <v>2</v>
      </c>
      <c r="F26" s="133">
        <f>IF(AND(OR($C26&lt;&gt;"",$D26&lt;&gt;""),$A26=1,$AI$2="ДА"),'Ответы учащихся'!E26,"")</f>
        <v>1</v>
      </c>
      <c r="G26" s="102">
        <f>IF(AND(OR($C26&lt;&gt;"",$D26&lt;&gt;""),$A26=1,$AI$2="ДА"),(IF($A26=1,IF(OR(AND($E26=1,'Ответы учащихся'!F26=2),AND($E26=2,'Ответы учащихся'!F26=4),AND($E26=3,OR('Ответы учащихся'!F26=3,'Ответы учащихся'!F26=4)),AND($E26=4,'Ответы учащихся'!F26=1)),1,IF('Ответы учащихся'!F26="N",'Ответы учащихся'!F26,0)),"")),"")</f>
        <v>1</v>
      </c>
      <c r="H26" s="102">
        <f>IF(AND(OR($C26&lt;&gt;"",$D26&lt;&gt;""),$A26=1,$AI$2="ДА"),(IF($A26=1,IF(OR(AND($E26=1,'Ответы учащихся'!G26=1),AND($E26=2,'Ответы учащихся'!G26=3),AND($E26=3,'Ответы учащихся'!G26=3),AND($E26=4,'Ответы учащихся'!G26=3)),1,IF('Ответы учащихся'!G26="N",'Ответы учащихся'!G26,0)),"")),"")</f>
        <v>1</v>
      </c>
      <c r="I26" s="102">
        <f>IF(AND(OR($C26&lt;&gt;"",$D26&lt;&gt;""),$A26=1,$AI$2="ДА"),(IF($A26=1,IF(OR(AND($E26=1,'Ответы учащихся'!H26=-6),AND($E26=2,'Ответы учащихся'!H26=3),AND($E26=3,'Ответы учащихся'!H26=-8),AND($E26=4,'Ответы учащихся'!H26=-6)),1,IF('Ответы учащихся'!H26="N",'Ответы учащихся'!H26,0)),"")),"")</f>
        <v>1</v>
      </c>
      <c r="J26" s="102">
        <f>IF(AND(OR($C26&lt;&gt;"",$D26&lt;&gt;""),$A26=1,$AI$2="ДА"),(IF($A26=1,IF(OR(AND($E26=1,'Ответы учащихся'!I26=3412),AND($E26=2,'Ответы учащихся'!I26=2314),AND($E26=3,'Ответы учащихся'!I26=3142),AND($E26=4,'Ответы учащихся'!I26=1234)),1,IF('Ответы учащихся'!I26="N",'Ответы учащихся'!I26,0)),"")),"")</f>
        <v>0</v>
      </c>
      <c r="K26" s="102">
        <f>IF(AND(OR($C26&lt;&gt;"",$D26&lt;&gt;""),$A26=1,$AI$2="ДА"),(IF($A26=1,IF(OR(AND($E26=1,'Ответы учащихся'!J26=390),AND($E26=2,'Ответы учащихся'!J26=273),AND($E26=3,'Ответы учащихся'!J26=205),AND($E26=4,'Ответы учащихся'!J26=240)),1,IF('Ответы учащихся'!J26="N",'Ответы учащихся'!J26,0)),"")),"")</f>
        <v>1</v>
      </c>
      <c r="L26" s="102">
        <f>IF(AND(OR($C26&lt;&gt;"",$D26&lt;&gt;""),$A26=1,$AI$2="ДА"),(IF($A26=1,IF(OR(AND($E26=1,'Ответы учащихся'!K26=1),AND($E26=2,'Ответы учащихся'!K26=2),AND($E26=3,'Ответы учащихся'!K26=4),AND($E26=4,'Ответы учащихся'!K26=3)),1,IF('Ответы учащихся'!K26="N",'Ответы учащихся'!K26,0)),"")),"")</f>
        <v>1</v>
      </c>
      <c r="M26" s="102">
        <f>IF(AND(OR($C26&lt;&gt;"",$D26&lt;&gt;""),$A26=1,$AI$2="ДА"),(IF($A26=1,IF(OR(AND($E26=1,'Ответы учащихся'!L26=3),AND($E26=2,'Ответы учащихся'!L26=1),AND($E26=3,'Ответы учащихся'!L26=4),AND($E26=4,'Ответы учащихся'!L26=2)),1,IF('Ответы учащихся'!L26="N",'Ответы учащихся'!L26,0)),"")),"")</f>
        <v>1</v>
      </c>
      <c r="N26" s="102">
        <f>IF(AND(OR($C26&lt;&gt;"",$D26&lt;&gt;""),$A26=1,$AI$2="ДА"),'Ответы учащихся'!M26,"")</f>
        <v>1</v>
      </c>
      <c r="O26" s="102">
        <f>IF(AND(OR($C26&lt;&gt;"",$D26&lt;&gt;""),$A26=1,$AI$2="ДА"),(IF($A26=1,IF(OR(AND($E26=1,'Ответы учащихся'!N26=3),AND($E26=2,'Ответы учащихся'!N26=2),AND($E26=3,'Ответы учащихся'!N26=4),AND($E26=4,'Ответы учащихся'!N26=1)),1,IF('Ответы учащихся'!N26="N",'Ответы учащихся'!N26,0)),"")),"")</f>
        <v>0</v>
      </c>
      <c r="P26" s="102">
        <f>IF(AND(OR($C26&lt;&gt;"",$D26&lt;&gt;""),$A26=1,$AI$2="ДА"),(IF($A26=1,IF(OR(AND($E26=1,'Ответы учащихся'!O26="БВ"),AND($E26=2,'Ответы учащихся'!O26="АВГ"),AND($E26=3,'Ответы учащихся'!O26="БВГ"),AND($E26=4,'Ответы учащихся'!O26="АВ")),1,IF('Ответы учащихся'!O26="N",'Ответы учащихся'!O26,0)),"")),"")</f>
        <v>0</v>
      </c>
      <c r="Q26" s="102">
        <f>IF(AND(OR($C26&lt;&gt;"",$D26&lt;&gt;""),$A26=1,$AI$2="ДА"),(IF($A26=1,IF(OR(AND($E26=1,'Ответы учащихся'!P26=2351),AND($E26=2,'Ответы учащихся'!P26=4132),AND($E26=3,'Ответы учащихся'!P26=3412),AND($E26=4,'Ответы учащихся'!P26=3125)),1,IF('Ответы учащихся'!P26="N",'Ответы учащихся'!P26,0)),"")),"")</f>
        <v>1</v>
      </c>
      <c r="R26" s="102">
        <f>IF(AND(OR($C26&lt;&gt;"",$D26&lt;&gt;""),$A26=1,$AI$2="ДА"),(IF($A26=1,IF(OR(AND($E26=1,'Ответы учащихся'!Q26=2),AND($E26=2,'Ответы учащихся'!Q26=9),AND($E26=3,'Ответы учащихся'!Q26=5),AND($E26=4,'Ответы учащихся'!Q26=2)),1,IF('Ответы учащихся'!Q26="N",'Ответы учащихся'!Q26,0)),"")),"")</f>
        <v>1</v>
      </c>
      <c r="S26" s="102">
        <f>IF(AND(OR($C26&lt;&gt;"",$D26&lt;&gt;""),$A26=1,$AI$2="ДА"),(IF($A26=1,IF(OR(AND($E26=1,'Ответы учащихся'!R26=35),AND($E26=2,'Ответы учащихся'!R26=74),AND($E26=3,'Ответы учащихся'!R26=72),AND($E26=4,'Ответы учащихся'!R26=66)),1,IF('Ответы учащихся'!R26="N",'Ответы учащихся'!R26,0)),"")),"")</f>
        <v>1</v>
      </c>
      <c r="T26" s="102">
        <f>IF(AND(OR($C26&lt;&gt;"",$D26&lt;&gt;""),$A26=1,$AI$2="ДА"),(IF($A26=1,IF(OR(AND($E26=1,'Ответы учащихся'!S26=60),AND($E26=2,'Ответы учащихся'!S26=40),AND($E26=3,'Ответы учащихся'!S26=30),AND($E26=4,'Ответы учащихся'!S26=18)),1,IF('Ответы учащихся'!S26="N",'Ответы учащихся'!S26,0)),"")),"")</f>
        <v>0</v>
      </c>
      <c r="U26" s="102">
        <f>IF(AND(OR($C26&lt;&gt;"",$D26&lt;&gt;""),$A26=1,$AI$2="ДА"),(IF($A26=1,IF(OR(AND($E26=1,'Ответы учащихся'!T26=3),AND($E26=2,'Ответы учащихся'!T26=4),AND($E26=3,'Ответы учащихся'!T26=2),AND($E26=4,'Ответы учащихся'!T26=3)),1,IF('Ответы учащихся'!T26="N",'Ответы учащихся'!T26,0)),"")),"")</f>
        <v>1</v>
      </c>
      <c r="V26" s="102">
        <f>IF(AND(OR($C26&lt;&gt;"",$D26&lt;&gt;""),$A26=1,$AI$2="ДА"),(IF($A26=1,IF(OR(AND($E26=1,'Ответы учащихся'!U26=11),AND($E26=2,'Ответы учащихся'!U26=14),AND($E26=3,'Ответы учащихся'!U26=-2),AND($E26=4,'Ответы учащихся'!U26=25)),1,IF('Ответы учащихся'!U26="N",'Ответы учащихся'!U26,0)),"")),"")</f>
        <v>1</v>
      </c>
      <c r="W26" s="102">
        <f>IF(AND(OR($C26&lt;&gt;"",$D26&lt;&gt;""),$A26=1,$AI$2="ДА"),(IF($A26=1,IF(OR(AND($E26=1,'Ответы учащихся'!V26=3000),AND($E26=2,'Ответы учащихся'!V26=2500),AND($E26=3,'Ответы учащихся'!V26=1500),AND($E26=4,'Ответы учащихся'!V26=1500)),1,IF('Ответы учащихся'!V26="N",'Ответы учащихся'!V26,0)),"")),"")</f>
        <v>1</v>
      </c>
      <c r="X26" s="102"/>
      <c r="Y26" s="102">
        <f>IF(AND(OR($C26&lt;&gt;"",$D26&lt;&gt;""),$A26=1,$AI$2="ДА"),(IF($A26=1,IF(AND('Ответы учащихся'!$W26&lt;&gt;"N",'Ответы учащихся'!$X26&lt;&gt;"N",'Ответы учащихся'!$Y26&lt;&gt;"N",'Ответы учащихся'!$Z26&lt;&gt;"N",'Ответы учащихся'!$AA26&lt;&gt;"N"),(SUM('Ответы учащихся'!$W26:$AA26)),"N"),"")),"")</f>
        <v>2</v>
      </c>
      <c r="Z26" s="102"/>
      <c r="AA26" s="102">
        <f>IF(AND(OR($C26&lt;&gt;"",$D26&lt;&gt;""),$A26=1,$AI$2="ДА"),(IF($A26=1,IF(AND('Ответы учащихся'!$AB26&lt;&gt;"N",'Ответы учащихся'!$AC26&lt;&gt;"N",'Ответы учащихся'!$AD26&lt;&gt;"N",'Ответы учащихся'!$AE26&lt;&gt;"N"),(SUM('Ответы учащихся'!$AB26:$AE26)),"N"),"")),"")</f>
        <v>2</v>
      </c>
      <c r="AB26" s="289" t="str">
        <f>IF(AND(OR($C26&lt;&gt;"",$D26&lt;&gt;""),$A26=1,$AI$2="ДА"),(IF($A26=1,IF(AND('Ответы учащихся'!$AF26&lt;&gt;"N",'Ответы учащихся'!$AG26&lt;&gt;"N",'Ответы учащихся'!$AH26&lt;&gt;"N",'Ответы учащихся'!$AI26&lt;&gt;"N"),(SUM('Ответы учащихся'!$AF26:$AI26)),"N"),"")),"")</f>
        <v>N</v>
      </c>
      <c r="AC26" s="468">
        <f t="shared" si="6"/>
        <v>18</v>
      </c>
      <c r="AD26" s="326">
        <f t="shared" si="7"/>
        <v>0.75</v>
      </c>
      <c r="AE26" s="327">
        <f t="shared" si="8"/>
        <v>14</v>
      </c>
      <c r="AF26" s="328">
        <f t="shared" si="9"/>
        <v>77.777777777777786</v>
      </c>
      <c r="AG26" s="327">
        <f t="shared" si="10"/>
        <v>4</v>
      </c>
      <c r="AH26" s="329">
        <f t="shared" si="11"/>
        <v>66.666666666666657</v>
      </c>
      <c r="AI26" s="456" t="str">
        <f t="shared" si="12"/>
        <v>ПОВЫШЕННЫЙ</v>
      </c>
      <c r="AJ26" s="446">
        <f t="shared" si="13"/>
        <v>16.614705882352936</v>
      </c>
      <c r="AK26" s="447">
        <f t="shared" si="14"/>
        <v>0.69227941176470575</v>
      </c>
      <c r="AL26" s="445">
        <v>9</v>
      </c>
      <c r="AM26" s="446">
        <f t="shared" si="15"/>
        <v>77.287581699346404</v>
      </c>
      <c r="AN26" s="442">
        <f>IF($A26=1,IF(OR(AND($E26=1,'Ответы учащихся'!W26=0.4),AND($E26=2,'Ответы учащихся'!W26=0.4),AND($E26=3,'Ответы учащихся'!W26=0.4),AND($E26=4,'Ответы учащихся'!W26=0.4)),1,IF('Ответы учащихся'!W26="N",'Ответы учащихся'!W26,0)),"")</f>
        <v>1</v>
      </c>
      <c r="AO26" s="434">
        <f>IF($A26=1,IF(OR(AND($E26=1,'Ответы учащихся'!X26=0.4),AND($E26=2,'Ответы учащихся'!X26=0.4),AND($E26=3,'Ответы учащихся'!X26=0.4),AND($E26=4,'Ответы учащихся'!X26=0.4)),1,IF('Ответы учащихся'!X26="N",'Ответы учащихся'!X26,0)),"")</f>
        <v>1</v>
      </c>
      <c r="AP26" s="434">
        <f>IF($A26=1,IF(OR(AND($E26=1,'Ответы учащихся'!Y26=0.4),AND($E26=2,'Ответы учащихся'!Y26=0.4),AND($E26=3,'Ответы учащихся'!Y26=0.4),AND($E26=4,'Ответы учащихся'!Y26=0.4)),1,IF('Ответы учащихся'!Y26="N",'Ответы учащихся'!Y26,0)),"")</f>
        <v>1</v>
      </c>
      <c r="AQ26" s="434">
        <f>IF($A26=1,IF(OR(AND($E26=1,'Ответы учащихся'!Z26=0.4),AND($E26=2,'Ответы учащихся'!Z26=0.4),AND($E26=3,'Ответы учащихся'!Z26=0.4),AND($E26=4,'Ответы учащихся'!Z26=0.4)),1,IF('Ответы учащихся'!Z26="N",'Ответы учащихся'!Z26,0)),"")</f>
        <v>1</v>
      </c>
      <c r="AR26" s="434">
        <f>IF($A26=1,IF(OR(AND($E26=1,'Ответы учащихся'!AA26=0.4),AND($E26=2,'Ответы учащихся'!AA26=0.4),AND($E26=3,'Ответы учащихся'!AA26=0.4),AND($E26=4,'Ответы учащихся'!AA26=0.4)),1,IF('Ответы учащихся'!AA26="N",'Ответы учащихся'!AA26,0)),"")</f>
        <v>1</v>
      </c>
      <c r="AS26" s="435">
        <f>IF($A26=1,IF(OR(AND($E26=1,'Ответы учащихся'!AB26=0.5),AND($E26=2,'Ответы учащихся'!AB26=0.5),AND($E26=3,'Ответы учащихся'!AB26=0.5),AND($E26=4,'Ответы учащихся'!AB26=0.5)),1,IF('Ответы учащихся'!AB26="N",'Ответы учащихся'!AB26,0)),"")</f>
        <v>1</v>
      </c>
      <c r="AT26" s="435">
        <f>IF($A26=1,IF(OR(AND($E26=1,'Ответы учащихся'!AC26=0.5),AND($E26=2,'Ответы учащихся'!AC26=0.5),AND($E26=3,'Ответы учащихся'!AC26=0.5),AND($E26=4,'Ответы учащихся'!AC26=0.5)),1,IF('Ответы учащихся'!AC26="N",'Ответы учащихся'!AC26,0)),"")</f>
        <v>1</v>
      </c>
      <c r="AU26" s="435">
        <f>IF($A26=1,IF(OR(AND($E26=1,'Ответы учащихся'!AD26=0.5),AND($E26=2,'Ответы учащихся'!AD26=0.5),AND($E26=3,'Ответы учащихся'!AD26=0.5),AND($E26=4,'Ответы учащихся'!AD26=0.5)),1,IF('Ответы учащихся'!AD26="N",'Ответы учащихся'!AD26,0)),"")</f>
        <v>1</v>
      </c>
      <c r="AV26" s="435">
        <f>IF($A26=1,IF(OR(AND($E26=1,'Ответы учащихся'!AE26=0.5),AND($E26=2,'Ответы учащихся'!AE26=0.5),AND($E26=3,'Ответы учащихся'!AE26=0.5),AND($E26=4,'Ответы учащихся'!AE26=0.5)),1,IF('Ответы учащихся'!AE26="N",'Ответы учащихся'!AE26,0)),"")</f>
        <v>1</v>
      </c>
      <c r="AW26" s="436" t="str">
        <f>IF($A26=1,IF(OR(AND($E26=1,'Ответы учащихся'!AF26=0.5),AND($E26=2,'Ответы учащихся'!AF26=0.5),AND($E26=3,'Ответы учащихся'!AF26=0.5),AND($E26=4,'Ответы учащихся'!AF26=0.5)),1,IF('Ответы учащихся'!AF26="N",'Ответы учащихся'!AF26,0)),"")</f>
        <v>N</v>
      </c>
      <c r="AX26" s="436" t="str">
        <f>IF($A26=1,IF(OR(AND($E26=1,'Ответы учащихся'!AG26=0.5),AND($E26=2,'Ответы учащихся'!AG26=0.5),AND($E26=3,'Ответы учащихся'!AG26=0.5),AND($E26=4,'Ответы учащихся'!AG26=0.5)),1,IF('Ответы учащихся'!AG26="N",'Ответы учащихся'!AG26,0)),"")</f>
        <v>N</v>
      </c>
      <c r="AY26" s="436" t="str">
        <f>IF($A26=1,IF(OR(AND($E26=1,'Ответы учащихся'!AH26=0.5),AND($E26=2,'Ответы учащихся'!AH26=0.5),AND($E26=3,'Ответы учащихся'!AH26=0.5),AND($E26=4,'Ответы учащихся'!AH26=0.5)),1,IF('Ответы учащихся'!AH26="N",'Ответы учащихся'!AH26,0)),"")</f>
        <v>N</v>
      </c>
      <c r="AZ26" s="436" t="str">
        <f>IF($A26=1,IF(OR(AND($E26=1,'Ответы учащихся'!AI26=0.5),AND($E26=2,'Ответы учащихся'!AI26=0.5),AND($E26=3,'Ответы учащихся'!AI26=0.5),AND($E26=4,'Ответы учащихся'!AI26=0.5)),1,IF('Ответы учащихся'!AI26="N",'Ответы учащихся'!AI26,0)),"")</f>
        <v>N</v>
      </c>
      <c r="BA26" s="439">
        <f>SUM(F19:N19)</f>
        <v>4</v>
      </c>
      <c r="BB26" s="429">
        <f>AB17</f>
        <v>0</v>
      </c>
      <c r="BC26" s="429"/>
      <c r="BD26" s="429"/>
      <c r="BE26" s="419"/>
      <c r="BF26" s="419"/>
      <c r="BG26" s="6"/>
      <c r="BH26" s="6"/>
      <c r="BI26" s="6"/>
      <c r="BJ26" s="6"/>
    </row>
    <row r="27" spans="1:62" ht="12.75" customHeight="1" x14ac:dyDescent="0.2">
      <c r="A27" s="12">
        <f>IF('СПИСОК КЛАССА'!J27&gt;0,1,0)</f>
        <v>1</v>
      </c>
      <c r="B27" s="100">
        <v>8</v>
      </c>
      <c r="C27" s="101">
        <f>IF(NOT(ISBLANK('СПИСОК КЛАССА'!C27)),'СПИСОК КЛАССА'!C27,"")</f>
        <v>8</v>
      </c>
      <c r="D27" s="134" t="str">
        <f>IF(NOT(ISBLANK('СПИСОК КЛАССА'!D27)),IF($A27=1,'СПИСОК КЛАССА'!D27, "УЧЕНИК НЕ ВЫПОЛНЯЛ РАБОТУ"),"")</f>
        <v/>
      </c>
      <c r="E27" s="459">
        <f>IF($C27&lt;&gt;"",'СПИСОК КЛАССА'!J27,"")</f>
        <v>3</v>
      </c>
      <c r="F27" s="133">
        <f>IF(AND(OR($C27&lt;&gt;"",$D27&lt;&gt;""),$A27=1,$AI$2="ДА"),'Ответы учащихся'!E27,"")</f>
        <v>1</v>
      </c>
      <c r="G27" s="102">
        <f>IF(AND(OR($C27&lt;&gt;"",$D27&lt;&gt;""),$A27=1,$AI$2="ДА"),(IF($A27=1,IF(OR(AND($E27=1,'Ответы учащихся'!F27=2),AND($E27=2,'Ответы учащихся'!F27=4),AND($E27=3,OR('Ответы учащихся'!F27=3,'Ответы учащихся'!F27=4)),AND($E27=4,'Ответы учащихся'!F27=1)),1,IF('Ответы учащихся'!F27="N",'Ответы учащихся'!F27,0)),"")),"")</f>
        <v>1</v>
      </c>
      <c r="H27" s="102">
        <f>IF(AND(OR($C27&lt;&gt;"",$D27&lt;&gt;""),$A27=1,$AI$2="ДА"),(IF($A27=1,IF(OR(AND($E27=1,'Ответы учащихся'!G27=1),AND($E27=2,'Ответы учащихся'!G27=3),AND($E27=3,'Ответы учащихся'!G27=3),AND($E27=4,'Ответы учащихся'!G27=3)),1,IF('Ответы учащихся'!G27="N",'Ответы учащихся'!G27,0)),"")),"")</f>
        <v>1</v>
      </c>
      <c r="I27" s="102">
        <f>IF(AND(OR($C27&lt;&gt;"",$D27&lt;&gt;""),$A27=1,$AI$2="ДА"),(IF($A27=1,IF(OR(AND($E27=1,'Ответы учащихся'!H27=-6),AND($E27=2,'Ответы учащихся'!H27=3),AND($E27=3,'Ответы учащихся'!H27=-8),AND($E27=4,'Ответы учащихся'!H27=-6)),1,IF('Ответы учащихся'!H27="N",'Ответы учащихся'!H27,0)),"")),"")</f>
        <v>1</v>
      </c>
      <c r="J27" s="102">
        <f>IF(AND(OR($C27&lt;&gt;"",$D27&lt;&gt;""),$A27=1,$AI$2="ДА"),(IF($A27=1,IF(OR(AND($E27=1,'Ответы учащихся'!I27=3412),AND($E27=2,'Ответы учащихся'!I27=2314),AND($E27=3,'Ответы учащихся'!I27=3142),AND($E27=4,'Ответы учащихся'!I27=1234)),1,IF('Ответы учащихся'!I27="N",'Ответы учащихся'!I27,0)),"")),"")</f>
        <v>0</v>
      </c>
      <c r="K27" s="102">
        <f>IF(AND(OR($C27&lt;&gt;"",$D27&lt;&gt;""),$A27=1,$AI$2="ДА"),(IF($A27=1,IF(OR(AND($E27=1,'Ответы учащихся'!J27=390),AND($E27=2,'Ответы учащихся'!J27=273),AND($E27=3,'Ответы учащихся'!J27=205),AND($E27=4,'Ответы учащихся'!J27=240)),1,IF('Ответы учащихся'!J27="N",'Ответы учащихся'!J27,0)),"")),"")</f>
        <v>1</v>
      </c>
      <c r="L27" s="102">
        <f>IF(AND(OR($C27&lt;&gt;"",$D27&lt;&gt;""),$A27=1,$AI$2="ДА"),(IF($A27=1,IF(OR(AND($E27=1,'Ответы учащихся'!K27=1),AND($E27=2,'Ответы учащихся'!K27=2),AND($E27=3,'Ответы учащихся'!K27=4),AND($E27=4,'Ответы учащихся'!K27=3)),1,IF('Ответы учащихся'!K27="N",'Ответы учащихся'!K27,0)),"")),"")</f>
        <v>1</v>
      </c>
      <c r="M27" s="102">
        <f>IF(AND(OR($C27&lt;&gt;"",$D27&lt;&gt;""),$A27=1,$AI$2="ДА"),(IF($A27=1,IF(OR(AND($E27=1,'Ответы учащихся'!L27=3),AND($E27=2,'Ответы учащихся'!L27=1),AND($E27=3,'Ответы учащихся'!L27=4),AND($E27=4,'Ответы учащихся'!L27=2)),1,IF('Ответы учащихся'!L27="N",'Ответы учащихся'!L27,0)),"")),"")</f>
        <v>1</v>
      </c>
      <c r="N27" s="102">
        <f>IF(AND(OR($C27&lt;&gt;"",$D27&lt;&gt;""),$A27=1,$AI$2="ДА"),'Ответы учащихся'!M27,"")</f>
        <v>1</v>
      </c>
      <c r="O27" s="102">
        <f>IF(AND(OR($C27&lt;&gt;"",$D27&lt;&gt;""),$A27=1,$AI$2="ДА"),(IF($A27=1,IF(OR(AND($E27=1,'Ответы учащихся'!N27=3),AND($E27=2,'Ответы учащихся'!N27=2),AND($E27=3,'Ответы учащихся'!N27=4),AND($E27=4,'Ответы учащихся'!N27=1)),1,IF('Ответы учащихся'!N27="N",'Ответы учащихся'!N27,0)),"")),"")</f>
        <v>1</v>
      </c>
      <c r="P27" s="102">
        <f>IF(AND(OR($C27&lt;&gt;"",$D27&lt;&gt;""),$A27=1,$AI$2="ДА"),(IF($A27=1,IF(OR(AND($E27=1,'Ответы учащихся'!O27="БВ"),AND($E27=2,'Ответы учащихся'!O27="АВГ"),AND($E27=3,'Ответы учащихся'!O27="БВГ"),AND($E27=4,'Ответы учащихся'!O27="АВ")),1,IF('Ответы учащихся'!O27="N",'Ответы учащихся'!O27,0)),"")),"")</f>
        <v>1</v>
      </c>
      <c r="Q27" s="102">
        <f>IF(AND(OR($C27&lt;&gt;"",$D27&lt;&gt;""),$A27=1,$AI$2="ДА"),(IF($A27=1,IF(OR(AND($E27=1,'Ответы учащихся'!P27=2351),AND($E27=2,'Ответы учащихся'!P27=4132),AND($E27=3,'Ответы учащихся'!P27=3412),AND($E27=4,'Ответы учащихся'!P27=3125)),1,IF('Ответы учащихся'!P27="N",'Ответы учащихся'!P27,0)),"")),"")</f>
        <v>1</v>
      </c>
      <c r="R27" s="102">
        <f>IF(AND(OR($C27&lt;&gt;"",$D27&lt;&gt;""),$A27=1,$AI$2="ДА"),(IF($A27=1,IF(OR(AND($E27=1,'Ответы учащихся'!Q27=2),AND($E27=2,'Ответы учащихся'!Q27=9),AND($E27=3,'Ответы учащихся'!Q27=5),AND($E27=4,'Ответы учащихся'!Q27=2)),1,IF('Ответы учащихся'!Q27="N",'Ответы учащихся'!Q27,0)),"")),"")</f>
        <v>1</v>
      </c>
      <c r="S27" s="102">
        <f>IF(AND(OR($C27&lt;&gt;"",$D27&lt;&gt;""),$A27=1,$AI$2="ДА"),(IF($A27=1,IF(OR(AND($E27=1,'Ответы учащихся'!R27=35),AND($E27=2,'Ответы учащихся'!R27=74),AND($E27=3,'Ответы учащихся'!R27=72),AND($E27=4,'Ответы учащихся'!R27=66)),1,IF('Ответы учащихся'!R27="N",'Ответы учащихся'!R27,0)),"")),"")</f>
        <v>1</v>
      </c>
      <c r="T27" s="102">
        <f>IF(AND(OR($C27&lt;&gt;"",$D27&lt;&gt;""),$A27=1,$AI$2="ДА"),(IF($A27=1,IF(OR(AND($E27=1,'Ответы учащихся'!S27=60),AND($E27=2,'Ответы учащихся'!S27=40),AND($E27=3,'Ответы учащихся'!S27=30),AND($E27=4,'Ответы учащихся'!S27=18)),1,IF('Ответы учащихся'!S27="N",'Ответы учащихся'!S27,0)),"")),"")</f>
        <v>0</v>
      </c>
      <c r="U27" s="102">
        <f>IF(AND(OR($C27&lt;&gt;"",$D27&lt;&gt;""),$A27=1,$AI$2="ДА"),(IF($A27=1,IF(OR(AND($E27=1,'Ответы учащихся'!T27=3),AND($E27=2,'Ответы учащихся'!T27=4),AND($E27=3,'Ответы учащихся'!T27=2),AND($E27=4,'Ответы учащихся'!T27=3)),1,IF('Ответы учащихся'!T27="N",'Ответы учащихся'!T27,0)),"")),"")</f>
        <v>1</v>
      </c>
      <c r="V27" s="102">
        <f>IF(AND(OR($C27&lt;&gt;"",$D27&lt;&gt;""),$A27=1,$AI$2="ДА"),(IF($A27=1,IF(OR(AND($E27=1,'Ответы учащихся'!U27=11),AND($E27=2,'Ответы учащихся'!U27=14),AND($E27=3,'Ответы учащихся'!U27=-2),AND($E27=4,'Ответы учащихся'!U27=25)),1,IF('Ответы учащихся'!U27="N",'Ответы учащихся'!U27,0)),"")),"")</f>
        <v>1</v>
      </c>
      <c r="W27" s="102">
        <f>IF(AND(OR($C27&lt;&gt;"",$D27&lt;&gt;""),$A27=1,$AI$2="ДА"),(IF($A27=1,IF(OR(AND($E27=1,'Ответы учащихся'!V27=3000),AND($E27=2,'Ответы учащихся'!V27=2500),AND($E27=3,'Ответы учащихся'!V27=1500),AND($E27=4,'Ответы учащихся'!V27=1500)),1,IF('Ответы учащихся'!V27="N",'Ответы учащихся'!V27,0)),"")),"")</f>
        <v>1</v>
      </c>
      <c r="X27" s="102"/>
      <c r="Y27" s="102">
        <f>IF(AND(OR($C27&lt;&gt;"",$D27&lt;&gt;""),$A27=1,$AI$2="ДА"),(IF($A27=1,IF(AND('Ответы учащихся'!$W27&lt;&gt;"N",'Ответы учащихся'!$X27&lt;&gt;"N",'Ответы учащихся'!$Y27&lt;&gt;"N",'Ответы учащихся'!$Z27&lt;&gt;"N",'Ответы учащихся'!$AA27&lt;&gt;"N"),(SUM('Ответы учащихся'!$W27:$AA27)),"N"),"")),"")</f>
        <v>2</v>
      </c>
      <c r="Z27" s="102"/>
      <c r="AA27" s="102">
        <f>IF(AND(OR($C27&lt;&gt;"",$D27&lt;&gt;""),$A27=1,$AI$2="ДА"),(IF($A27=1,IF(AND('Ответы учащихся'!$AB27&lt;&gt;"N",'Ответы учащихся'!$AC27&lt;&gt;"N",'Ответы учащихся'!$AD27&lt;&gt;"N",'Ответы учащихся'!$AE27&lt;&gt;"N"),(SUM('Ответы учащихся'!$AB27:$AE27)),"N"),"")),"")</f>
        <v>2</v>
      </c>
      <c r="AB27" s="289">
        <f>IF(AND(OR($C27&lt;&gt;"",$D27&lt;&gt;""),$A27=1,$AI$2="ДА"),(IF($A27=1,IF(AND('Ответы учащихся'!$AF27&lt;&gt;"N",'Ответы учащихся'!$AG27&lt;&gt;"N",'Ответы учащихся'!$AH27&lt;&gt;"N",'Ответы учащихся'!$AI27&lt;&gt;"N"),(SUM('Ответы учащихся'!$AF27:$AI27)),"N"),"")),"")</f>
        <v>2</v>
      </c>
      <c r="AC27" s="468">
        <f t="shared" si="6"/>
        <v>22</v>
      </c>
      <c r="AD27" s="326">
        <f t="shared" si="7"/>
        <v>0.91666666666666663</v>
      </c>
      <c r="AE27" s="327">
        <f t="shared" si="8"/>
        <v>16</v>
      </c>
      <c r="AF27" s="328">
        <f t="shared" si="9"/>
        <v>88.888888888888886</v>
      </c>
      <c r="AG27" s="327">
        <f t="shared" si="10"/>
        <v>6</v>
      </c>
      <c r="AH27" s="329">
        <f t="shared" si="11"/>
        <v>100</v>
      </c>
      <c r="AI27" s="456" t="str">
        <f t="shared" si="12"/>
        <v>ВЫСОКИЙ</v>
      </c>
      <c r="AJ27" s="446">
        <f t="shared" si="13"/>
        <v>16.614705882352936</v>
      </c>
      <c r="AK27" s="447">
        <f t="shared" si="14"/>
        <v>0.69227941176470575</v>
      </c>
      <c r="AL27" s="445">
        <v>9</v>
      </c>
      <c r="AM27" s="446">
        <f t="shared" si="15"/>
        <v>77.287581699346404</v>
      </c>
      <c r="AN27" s="442">
        <f>IF($A27=1,IF(OR(AND($E27=1,'Ответы учащихся'!W27=0.4),AND($E27=2,'Ответы учащихся'!W27=0.4),AND($E27=3,'Ответы учащихся'!W27=0.4),AND($E27=4,'Ответы учащихся'!W27=0.4)),1,IF('Ответы учащихся'!W27="N",'Ответы учащихся'!W27,0)),"")</f>
        <v>1</v>
      </c>
      <c r="AO27" s="434">
        <f>IF($A27=1,IF(OR(AND($E27=1,'Ответы учащихся'!X27=0.4),AND($E27=2,'Ответы учащихся'!X27=0.4),AND($E27=3,'Ответы учащихся'!X27=0.4),AND($E27=4,'Ответы учащихся'!X27=0.4)),1,IF('Ответы учащихся'!X27="N",'Ответы учащихся'!X27,0)),"")</f>
        <v>1</v>
      </c>
      <c r="AP27" s="434">
        <f>IF($A27=1,IF(OR(AND($E27=1,'Ответы учащихся'!Y27=0.4),AND($E27=2,'Ответы учащихся'!Y27=0.4),AND($E27=3,'Ответы учащихся'!Y27=0.4),AND($E27=4,'Ответы учащихся'!Y27=0.4)),1,IF('Ответы учащихся'!Y27="N",'Ответы учащихся'!Y27,0)),"")</f>
        <v>1</v>
      </c>
      <c r="AQ27" s="434">
        <f>IF($A27=1,IF(OR(AND($E27=1,'Ответы учащихся'!Z27=0.4),AND($E27=2,'Ответы учащихся'!Z27=0.4),AND($E27=3,'Ответы учащихся'!Z27=0.4),AND($E27=4,'Ответы учащихся'!Z27=0.4)),1,IF('Ответы учащихся'!Z27="N",'Ответы учащихся'!Z27,0)),"")</f>
        <v>1</v>
      </c>
      <c r="AR27" s="434">
        <f>IF($A27=1,IF(OR(AND($E27=1,'Ответы учащихся'!AA27=0.4),AND($E27=2,'Ответы учащихся'!AA27=0.4),AND($E27=3,'Ответы учащихся'!AA27=0.4),AND($E27=4,'Ответы учащихся'!AA27=0.4)),1,IF('Ответы учащихся'!AA27="N",'Ответы учащихся'!AA27,0)),"")</f>
        <v>1</v>
      </c>
      <c r="AS27" s="435">
        <f>IF($A27=1,IF(OR(AND($E27=1,'Ответы учащихся'!AB27=0.5),AND($E27=2,'Ответы учащихся'!AB27=0.5),AND($E27=3,'Ответы учащихся'!AB27=0.5),AND($E27=4,'Ответы учащихся'!AB27=0.5)),1,IF('Ответы учащихся'!AB27="N",'Ответы учащихся'!AB27,0)),"")</f>
        <v>1</v>
      </c>
      <c r="AT27" s="435">
        <f>IF($A27=1,IF(OR(AND($E27=1,'Ответы учащихся'!AC27=0.5),AND($E27=2,'Ответы учащихся'!AC27=0.5),AND($E27=3,'Ответы учащихся'!AC27=0.5),AND($E27=4,'Ответы учащихся'!AC27=0.5)),1,IF('Ответы учащихся'!AC27="N",'Ответы учащихся'!AC27,0)),"")</f>
        <v>1</v>
      </c>
      <c r="AU27" s="435">
        <f>IF($A27=1,IF(OR(AND($E27=1,'Ответы учащихся'!AD27=0.5),AND($E27=2,'Ответы учащихся'!AD27=0.5),AND($E27=3,'Ответы учащихся'!AD27=0.5),AND($E27=4,'Ответы учащихся'!AD27=0.5)),1,IF('Ответы учащихся'!AD27="N",'Ответы учащихся'!AD27,0)),"")</f>
        <v>1</v>
      </c>
      <c r="AV27" s="435">
        <f>IF($A27=1,IF(OR(AND($E27=1,'Ответы учащихся'!AE27=0.5),AND($E27=2,'Ответы учащихся'!AE27=0.5),AND($E27=3,'Ответы учащихся'!AE27=0.5),AND($E27=4,'Ответы учащихся'!AE27=0.5)),1,IF('Ответы учащихся'!AE27="N",'Ответы учащихся'!AE27,0)),"")</f>
        <v>1</v>
      </c>
      <c r="AW27" s="436">
        <f>IF($A27=1,IF(OR(AND($E27=1,'Ответы учащихся'!AF27=0.5),AND($E27=2,'Ответы учащихся'!AF27=0.5),AND($E27=3,'Ответы учащихся'!AF27=0.5),AND($E27=4,'Ответы учащихся'!AF27=0.5)),1,IF('Ответы учащихся'!AF27="N",'Ответы учащихся'!AF27,0)),"")</f>
        <v>1</v>
      </c>
      <c r="AX27" s="436">
        <f>IF($A27=1,IF(OR(AND($E27=1,'Ответы учащихся'!AG27=0.5),AND($E27=2,'Ответы учащихся'!AG27=0.5),AND($E27=3,'Ответы учащихся'!AG27=0.5),AND($E27=4,'Ответы учащихся'!AG27=0.5)),1,IF('Ответы учащихся'!AG27="N",'Ответы учащихся'!AG27,0)),"")</f>
        <v>1</v>
      </c>
      <c r="AY27" s="436">
        <f>IF($A27=1,IF(OR(AND($E27=1,'Ответы учащихся'!AH27=0.5),AND($E27=2,'Ответы учащихся'!AH27=0.5),AND($E27=3,'Ответы учащихся'!AH27=0.5),AND($E27=4,'Ответы учащихся'!AH27=0.5)),1,IF('Ответы учащихся'!AH27="N",'Ответы учащихся'!AH27,0)),"")</f>
        <v>1</v>
      </c>
      <c r="AZ27" s="436">
        <f>IF($A27=1,IF(OR(AND($E27=1,'Ответы учащихся'!AI27=0.5),AND($E27=2,'Ответы учащихся'!AI27=0.5),AND($E27=3,'Ответы учащихся'!AI27=0.5),AND($E27=4,'Ответы учащихся'!AI27=0.5)),1,IF('Ответы учащихся'!AI27="N",'Ответы учащихся'!AI27,0)),"")</f>
        <v>1</v>
      </c>
      <c r="BA27" s="439">
        <f>SUM(O19:T19)</f>
        <v>11</v>
      </c>
      <c r="BB27" s="429">
        <f>AB18</f>
        <v>0</v>
      </c>
      <c r="BC27" s="429"/>
      <c r="BD27" s="429"/>
      <c r="BE27" s="419"/>
      <c r="BF27" s="419"/>
      <c r="BG27" s="6"/>
      <c r="BH27" s="6"/>
      <c r="BI27" s="6"/>
      <c r="BJ27" s="6"/>
    </row>
    <row r="28" spans="1:62" ht="12.75" customHeight="1" x14ac:dyDescent="0.2">
      <c r="A28" s="12">
        <f>IF('СПИСОК КЛАССА'!J28&gt;0,1,0)</f>
        <v>1</v>
      </c>
      <c r="B28" s="100">
        <v>9</v>
      </c>
      <c r="C28" s="101">
        <f>IF(NOT(ISBLANK('СПИСОК КЛАССА'!C28)),'СПИСОК КЛАССА'!C28,"")</f>
        <v>9</v>
      </c>
      <c r="D28" s="134" t="str">
        <f>IF(NOT(ISBLANK('СПИСОК КЛАССА'!D28)),IF($A28=1,'СПИСОК КЛАССА'!D28, "УЧЕНИК НЕ ВЫПОЛНЯЛ РАБОТУ"),"")</f>
        <v/>
      </c>
      <c r="E28" s="459">
        <f>IF($C28&lt;&gt;"",'СПИСОК КЛАССА'!J28,"")</f>
        <v>3</v>
      </c>
      <c r="F28" s="133">
        <f>IF(AND(OR($C28&lt;&gt;"",$D28&lt;&gt;""),$A28=1,$AI$2="ДА"),'Ответы учащихся'!E28,"")</f>
        <v>1</v>
      </c>
      <c r="G28" s="102">
        <f>IF(AND(OR($C28&lt;&gt;"",$D28&lt;&gt;""),$A28=1,$AI$2="ДА"),(IF($A28=1,IF(OR(AND($E28=1,'Ответы учащихся'!F28=2),AND($E28=2,'Ответы учащихся'!F28=4),AND($E28=3,OR('Ответы учащихся'!F28=3,'Ответы учащихся'!F28=4)),AND($E28=4,'Ответы учащихся'!F28=1)),1,IF('Ответы учащихся'!F28="N",'Ответы учащихся'!F28,0)),"")),"")</f>
        <v>1</v>
      </c>
      <c r="H28" s="102">
        <f>IF(AND(OR($C28&lt;&gt;"",$D28&lt;&gt;""),$A28=1,$AI$2="ДА"),(IF($A28=1,IF(OR(AND($E28=1,'Ответы учащихся'!G28=1),AND($E28=2,'Ответы учащихся'!G28=3),AND($E28=3,'Ответы учащихся'!G28=3),AND($E28=4,'Ответы учащихся'!G28=3)),1,IF('Ответы учащихся'!G28="N",'Ответы учащихся'!G28,0)),"")),"")</f>
        <v>1</v>
      </c>
      <c r="I28" s="102">
        <f>IF(AND(OR($C28&lt;&gt;"",$D28&lt;&gt;""),$A28=1,$AI$2="ДА"),(IF($A28=1,IF(OR(AND($E28=1,'Ответы учащихся'!H28=-6),AND($E28=2,'Ответы учащихся'!H28=3),AND($E28=3,'Ответы учащихся'!H28=-8),AND($E28=4,'Ответы учащихся'!H28=-6)),1,IF('Ответы учащихся'!H28="N",'Ответы учащихся'!H28,0)),"")),"")</f>
        <v>1</v>
      </c>
      <c r="J28" s="102">
        <f>IF(AND(OR($C28&lt;&gt;"",$D28&lt;&gt;""),$A28=1,$AI$2="ДА"),(IF($A28=1,IF(OR(AND($E28=1,'Ответы учащихся'!I28=3412),AND($E28=2,'Ответы учащихся'!I28=2314),AND($E28=3,'Ответы учащихся'!I28=3142),AND($E28=4,'Ответы учащихся'!I28=1234)),1,IF('Ответы учащихся'!I28="N",'Ответы учащихся'!I28,0)),"")),"")</f>
        <v>1</v>
      </c>
      <c r="K28" s="102">
        <f>IF(AND(OR($C28&lt;&gt;"",$D28&lt;&gt;""),$A28=1,$AI$2="ДА"),(IF($A28=1,IF(OR(AND($E28=1,'Ответы учащихся'!J28=390),AND($E28=2,'Ответы учащихся'!J28=273),AND($E28=3,'Ответы учащихся'!J28=205),AND($E28=4,'Ответы учащихся'!J28=240)),1,IF('Ответы учащихся'!J28="N",'Ответы учащихся'!J28,0)),"")),"")</f>
        <v>1</v>
      </c>
      <c r="L28" s="102">
        <f>IF(AND(OR($C28&lt;&gt;"",$D28&lt;&gt;""),$A28=1,$AI$2="ДА"),(IF($A28=1,IF(OR(AND($E28=1,'Ответы учащихся'!K28=1),AND($E28=2,'Ответы учащихся'!K28=2),AND($E28=3,'Ответы учащихся'!K28=4),AND($E28=4,'Ответы учащихся'!K28=3)),1,IF('Ответы учащихся'!K28="N",'Ответы учащихся'!K28,0)),"")),"")</f>
        <v>1</v>
      </c>
      <c r="M28" s="102">
        <f>IF(AND(OR($C28&lt;&gt;"",$D28&lt;&gt;""),$A28=1,$AI$2="ДА"),(IF($A28=1,IF(OR(AND($E28=1,'Ответы учащихся'!L28=3),AND($E28=2,'Ответы учащихся'!L28=1),AND($E28=3,'Ответы учащихся'!L28=4),AND($E28=4,'Ответы учащихся'!L28=2)),1,IF('Ответы учащихся'!L28="N",'Ответы учащихся'!L28,0)),"")),"")</f>
        <v>1</v>
      </c>
      <c r="N28" s="102">
        <f>IF(AND(OR($C28&lt;&gt;"",$D28&lt;&gt;""),$A28=1,$AI$2="ДА"),'Ответы учащихся'!M28,"")</f>
        <v>0</v>
      </c>
      <c r="O28" s="102">
        <f>IF(AND(OR($C28&lt;&gt;"",$D28&lt;&gt;""),$A28=1,$AI$2="ДА"),(IF($A28=1,IF(OR(AND($E28=1,'Ответы учащихся'!N28=3),AND($E28=2,'Ответы учащихся'!N28=2),AND($E28=3,'Ответы учащихся'!N28=4),AND($E28=4,'Ответы учащихся'!N28=1)),1,IF('Ответы учащихся'!N28="N",'Ответы учащихся'!N28,0)),"")),"")</f>
        <v>1</v>
      </c>
      <c r="P28" s="102">
        <f>IF(AND(OR($C28&lt;&gt;"",$D28&lt;&gt;""),$A28=1,$AI$2="ДА"),(IF($A28=1,IF(OR(AND($E28=1,'Ответы учащихся'!O28="БВ"),AND($E28=2,'Ответы учащихся'!O28="АВГ"),AND($E28=3,'Ответы учащихся'!O28="БВГ"),AND($E28=4,'Ответы учащихся'!O28="АВ")),1,IF('Ответы учащихся'!O28="N",'Ответы учащихся'!O28,0)),"")),"")</f>
        <v>1</v>
      </c>
      <c r="Q28" s="102">
        <f>IF(AND(OR($C28&lt;&gt;"",$D28&lt;&gt;""),$A28=1,$AI$2="ДА"),(IF($A28=1,IF(OR(AND($E28=1,'Ответы учащихся'!P28=2351),AND($E28=2,'Ответы учащихся'!P28=4132),AND($E28=3,'Ответы учащихся'!P28=3412),AND($E28=4,'Ответы учащихся'!P28=3125)),1,IF('Ответы учащихся'!P28="N",'Ответы учащихся'!P28,0)),"")),"")</f>
        <v>1</v>
      </c>
      <c r="R28" s="102">
        <f>IF(AND(OR($C28&lt;&gt;"",$D28&lt;&gt;""),$A28=1,$AI$2="ДА"),(IF($A28=1,IF(OR(AND($E28=1,'Ответы учащихся'!Q28=2),AND($E28=2,'Ответы учащихся'!Q28=9),AND($E28=3,'Ответы учащихся'!Q28=5),AND($E28=4,'Ответы учащихся'!Q28=2)),1,IF('Ответы учащихся'!Q28="N",'Ответы учащихся'!Q28,0)),"")),"")</f>
        <v>1</v>
      </c>
      <c r="S28" s="102">
        <f>IF(AND(OR($C28&lt;&gt;"",$D28&lt;&gt;""),$A28=1,$AI$2="ДА"),(IF($A28=1,IF(OR(AND($E28=1,'Ответы учащихся'!R28=35),AND($E28=2,'Ответы учащихся'!R28=74),AND($E28=3,'Ответы учащихся'!R28=72),AND($E28=4,'Ответы учащихся'!R28=66)),1,IF('Ответы учащихся'!R28="N",'Ответы учащихся'!R28,0)),"")),"")</f>
        <v>0</v>
      </c>
      <c r="T28" s="102">
        <f>IF(AND(OR($C28&lt;&gt;"",$D28&lt;&gt;""),$A28=1,$AI$2="ДА"),(IF($A28=1,IF(OR(AND($E28=1,'Ответы учащихся'!S28=60),AND($E28=2,'Ответы учащихся'!S28=40),AND($E28=3,'Ответы учащихся'!S28=30),AND($E28=4,'Ответы учащихся'!S28=18)),1,IF('Ответы учащихся'!S28="N",'Ответы учащихся'!S28,0)),"")),"")</f>
        <v>0</v>
      </c>
      <c r="U28" s="102">
        <f>IF(AND(OR($C28&lt;&gt;"",$D28&lt;&gt;""),$A28=1,$AI$2="ДА"),(IF($A28=1,IF(OR(AND($E28=1,'Ответы учащихся'!T28=3),AND($E28=2,'Ответы учащихся'!T28=4),AND($E28=3,'Ответы учащихся'!T28=2),AND($E28=4,'Ответы учащихся'!T28=3)),1,IF('Ответы учащихся'!T28="N",'Ответы учащихся'!T28,0)),"")),"")</f>
        <v>1</v>
      </c>
      <c r="V28" s="102">
        <f>IF(AND(OR($C28&lt;&gt;"",$D28&lt;&gt;""),$A28=1,$AI$2="ДА"),(IF($A28=1,IF(OR(AND($E28=1,'Ответы учащихся'!U28=11),AND($E28=2,'Ответы учащихся'!U28=14),AND($E28=3,'Ответы учащихся'!U28=-2),AND($E28=4,'Ответы учащихся'!U28=25)),1,IF('Ответы учащихся'!U28="N",'Ответы учащихся'!U28,0)),"")),"")</f>
        <v>1</v>
      </c>
      <c r="W28" s="102">
        <f>IF(AND(OR($C28&lt;&gt;"",$D28&lt;&gt;""),$A28=1,$AI$2="ДА"),(IF($A28=1,IF(OR(AND($E28=1,'Ответы учащихся'!V28=3000),AND($E28=2,'Ответы учащихся'!V28=2500),AND($E28=3,'Ответы учащихся'!V28=1500),AND($E28=4,'Ответы учащихся'!V28=1500)),1,IF('Ответы учащихся'!V28="N",'Ответы учащихся'!V28,0)),"")),"")</f>
        <v>1</v>
      </c>
      <c r="X28" s="102"/>
      <c r="Y28" s="102">
        <f>IF(AND(OR($C28&lt;&gt;"",$D28&lt;&gt;""),$A28=1,$AI$2="ДА"),(IF($A28=1,IF(AND('Ответы учащихся'!$W28&lt;&gt;"N",'Ответы учащихся'!$X28&lt;&gt;"N",'Ответы учащихся'!$Y28&lt;&gt;"N",'Ответы учащихся'!$Z28&lt;&gt;"N",'Ответы учащихся'!$AA28&lt;&gt;"N"),(SUM('Ответы учащихся'!$W28:$AA28)),"N"),"")),"")</f>
        <v>0.4</v>
      </c>
      <c r="Z28" s="102"/>
      <c r="AA28" s="102">
        <f>IF(AND(OR($C28&lt;&gt;"",$D28&lt;&gt;""),$A28=1,$AI$2="ДА"),(IF($A28=1,IF(AND('Ответы учащихся'!$AB28&lt;&gt;"N",'Ответы учащихся'!$AC28&lt;&gt;"N",'Ответы учащихся'!$AD28&lt;&gt;"N",'Ответы учащихся'!$AE28&lt;&gt;"N"),(SUM('Ответы учащихся'!$AB28:$AE28)),"N"),"")),"")</f>
        <v>2</v>
      </c>
      <c r="AB28" s="289">
        <f>IF(AND(OR($C28&lt;&gt;"",$D28&lt;&gt;""),$A28=1,$AI$2="ДА"),(IF($A28=1,IF(AND('Ответы учащихся'!$AF28&lt;&gt;"N",'Ответы учащихся'!$AG28&lt;&gt;"N",'Ответы учащихся'!$AH28&lt;&gt;"N",'Ответы учащихся'!$AI28&lt;&gt;"N"),(SUM('Ответы учащихся'!$AF28:$AI28)),"N"),"")),"")</f>
        <v>1.5</v>
      </c>
      <c r="AC28" s="468">
        <f t="shared" si="6"/>
        <v>18.899999999999999</v>
      </c>
      <c r="AD28" s="326">
        <f t="shared" si="7"/>
        <v>0.78749999999999998</v>
      </c>
      <c r="AE28" s="327">
        <f t="shared" si="8"/>
        <v>15</v>
      </c>
      <c r="AF28" s="328">
        <f t="shared" si="9"/>
        <v>83.333333333333343</v>
      </c>
      <c r="AG28" s="327">
        <f t="shared" si="10"/>
        <v>3.9</v>
      </c>
      <c r="AH28" s="329">
        <f t="shared" si="11"/>
        <v>65</v>
      </c>
      <c r="AI28" s="456" t="str">
        <f t="shared" si="12"/>
        <v>ПОВЫШЕННЫЙ</v>
      </c>
      <c r="AJ28" s="446">
        <f t="shared" si="13"/>
        <v>16.614705882352936</v>
      </c>
      <c r="AK28" s="447">
        <f t="shared" si="14"/>
        <v>0.69227941176470575</v>
      </c>
      <c r="AL28" s="445">
        <v>9</v>
      </c>
      <c r="AM28" s="446">
        <f t="shared" si="15"/>
        <v>77.287581699346404</v>
      </c>
      <c r="AN28" s="442">
        <f>IF($A28=1,IF(OR(AND($E28=1,'Ответы учащихся'!W28=0.4),AND($E28=2,'Ответы учащихся'!W28=0.4),AND($E28=3,'Ответы учащихся'!W28=0.4),AND($E28=4,'Ответы учащихся'!W28=0.4)),1,IF('Ответы учащихся'!W28="N",'Ответы учащихся'!W28,0)),"")</f>
        <v>1</v>
      </c>
      <c r="AO28" s="434">
        <f>IF($A28=1,IF(OR(AND($E28=1,'Ответы учащихся'!X28=0.4),AND($E28=2,'Ответы учащихся'!X28=0.4),AND($E28=3,'Ответы учащихся'!X28=0.4),AND($E28=4,'Ответы учащихся'!X28=0.4)),1,IF('Ответы учащихся'!X28="N",'Ответы учащихся'!X28,0)),"")</f>
        <v>0</v>
      </c>
      <c r="AP28" s="434">
        <f>IF($A28=1,IF(OR(AND($E28=1,'Ответы учащихся'!Y28=0.4),AND($E28=2,'Ответы учащихся'!Y28=0.4),AND($E28=3,'Ответы учащихся'!Y28=0.4),AND($E28=4,'Ответы учащихся'!Y28=0.4)),1,IF('Ответы учащихся'!Y28="N",'Ответы учащихся'!Y28,0)),"")</f>
        <v>0</v>
      </c>
      <c r="AQ28" s="434">
        <f>IF($A28=1,IF(OR(AND($E28=1,'Ответы учащихся'!Z28=0.4),AND($E28=2,'Ответы учащихся'!Z28=0.4),AND($E28=3,'Ответы учащихся'!Z28=0.4),AND($E28=4,'Ответы учащихся'!Z28=0.4)),1,IF('Ответы учащихся'!Z28="N",'Ответы учащихся'!Z28,0)),"")</f>
        <v>0</v>
      </c>
      <c r="AR28" s="434">
        <f>IF($A28=1,IF(OR(AND($E28=1,'Ответы учащихся'!AA28=0.4),AND($E28=2,'Ответы учащихся'!AA28=0.4),AND($E28=3,'Ответы учащихся'!AA28=0.4),AND($E28=4,'Ответы учащихся'!AA28=0.4)),1,IF('Ответы учащихся'!AA28="N",'Ответы учащихся'!AA28,0)),"")</f>
        <v>0</v>
      </c>
      <c r="AS28" s="435">
        <f>IF($A28=1,IF(OR(AND($E28=1,'Ответы учащихся'!AB28=0.5),AND($E28=2,'Ответы учащихся'!AB28=0.5),AND($E28=3,'Ответы учащихся'!AB28=0.5),AND($E28=4,'Ответы учащихся'!AB28=0.5)),1,IF('Ответы учащихся'!AB28="N",'Ответы учащихся'!AB28,0)),"")</f>
        <v>1</v>
      </c>
      <c r="AT28" s="435">
        <f>IF($A28=1,IF(OR(AND($E28=1,'Ответы учащихся'!AC28=0.5),AND($E28=2,'Ответы учащихся'!AC28=0.5),AND($E28=3,'Ответы учащихся'!AC28=0.5),AND($E28=4,'Ответы учащихся'!AC28=0.5)),1,IF('Ответы учащихся'!AC28="N",'Ответы учащихся'!AC28,0)),"")</f>
        <v>1</v>
      </c>
      <c r="AU28" s="435">
        <f>IF($A28=1,IF(OR(AND($E28=1,'Ответы учащихся'!AD28=0.5),AND($E28=2,'Ответы учащихся'!AD28=0.5),AND($E28=3,'Ответы учащихся'!AD28=0.5),AND($E28=4,'Ответы учащихся'!AD28=0.5)),1,IF('Ответы учащихся'!AD28="N",'Ответы учащихся'!AD28,0)),"")</f>
        <v>1</v>
      </c>
      <c r="AV28" s="435">
        <f>IF($A28=1,IF(OR(AND($E28=1,'Ответы учащихся'!AE28=0.5),AND($E28=2,'Ответы учащихся'!AE28=0.5),AND($E28=3,'Ответы учащихся'!AE28=0.5),AND($E28=4,'Ответы учащихся'!AE28=0.5)),1,IF('Ответы учащихся'!AE28="N",'Ответы учащихся'!AE28,0)),"")</f>
        <v>1</v>
      </c>
      <c r="AW28" s="436">
        <f>IF($A28=1,IF(OR(AND($E28=1,'Ответы учащихся'!AF28=0.5),AND($E28=2,'Ответы учащихся'!AF28=0.5),AND($E28=3,'Ответы учащихся'!AF28=0.5),AND($E28=4,'Ответы учащихся'!AF28=0.5)),1,IF('Ответы учащихся'!AF28="N",'Ответы учащихся'!AF28,0)),"")</f>
        <v>1</v>
      </c>
      <c r="AX28" s="436">
        <f>IF($A28=1,IF(OR(AND($E28=1,'Ответы учащихся'!AG28=0.5),AND($E28=2,'Ответы учащихся'!AG28=0.5),AND($E28=3,'Ответы учащихся'!AG28=0.5),AND($E28=4,'Ответы учащихся'!AG28=0.5)),1,IF('Ответы учащихся'!AG28="N",'Ответы учащихся'!AG28,0)),"")</f>
        <v>1</v>
      </c>
      <c r="AY28" s="436">
        <f>IF($A28=1,IF(OR(AND($E28=1,'Ответы учащихся'!AH28=0.5),AND($E28=2,'Ответы учащихся'!AH28=0.5),AND($E28=3,'Ответы учащихся'!AH28=0.5),AND($E28=4,'Ответы учащихся'!AH28=0.5)),1,IF('Ответы учащихся'!AH28="N",'Ответы учащихся'!AH28,0)),"")</f>
        <v>1</v>
      </c>
      <c r="AZ28" s="436">
        <f>IF($A28=1,IF(OR(AND($E28=1,'Ответы учащихся'!AI28=0.5),AND($E28=2,'Ответы учащихся'!AI28=0.5),AND($E28=3,'Ответы учащихся'!AI28=0.5),AND($E28=4,'Ответы учащихся'!AI28=0.5)),1,IF('Ответы учащихся'!AI28="N",'Ответы учащихся'!AI28,0)),"")</f>
        <v>0</v>
      </c>
      <c r="BA28" s="439">
        <f>SUM(U19:W19)</f>
        <v>4</v>
      </c>
      <c r="BB28" s="429">
        <f>AB19</f>
        <v>22</v>
      </c>
      <c r="BC28" s="429"/>
      <c r="BD28" s="429"/>
      <c r="BE28" s="419"/>
      <c r="BF28" s="419"/>
      <c r="BG28" s="6"/>
      <c r="BH28" s="6"/>
      <c r="BI28" s="6"/>
      <c r="BJ28" s="6"/>
    </row>
    <row r="29" spans="1:62" ht="12.75" customHeight="1" x14ac:dyDescent="0.2">
      <c r="A29" s="12">
        <f>IF('СПИСОК КЛАССА'!J29&gt;0,1,0)</f>
        <v>1</v>
      </c>
      <c r="B29" s="100">
        <v>10</v>
      </c>
      <c r="C29" s="101">
        <f>IF(NOT(ISBLANK('СПИСОК КЛАССА'!C29)),'СПИСОК КЛАССА'!C29,"")</f>
        <v>10</v>
      </c>
      <c r="D29" s="134" t="str">
        <f>IF(NOT(ISBLANK('СПИСОК КЛАССА'!D29)),IF($A29=1,'СПИСОК КЛАССА'!D29, "УЧЕНИК НЕ ВЫПОЛНЯЛ РАБОТУ"),"")</f>
        <v/>
      </c>
      <c r="E29" s="459">
        <f>IF($C29&lt;&gt;"",'СПИСОК КЛАССА'!J29,"")</f>
        <v>2</v>
      </c>
      <c r="F29" s="133">
        <f>IF(AND(OR($C29&lt;&gt;"",$D29&lt;&gt;""),$A29=1,$AI$2="ДА"),'Ответы учащихся'!E29,"")</f>
        <v>1</v>
      </c>
      <c r="G29" s="102">
        <f>IF(AND(OR($C29&lt;&gt;"",$D29&lt;&gt;""),$A29=1,$AI$2="ДА"),(IF($A29=1,IF(OR(AND($E29=1,'Ответы учащихся'!F29=2),AND($E29=2,'Ответы учащихся'!F29=4),AND($E29=3,OR('Ответы учащихся'!F29=3,'Ответы учащихся'!F29=4)),AND($E29=4,'Ответы учащихся'!F29=1)),1,IF('Ответы учащихся'!F29="N",'Ответы учащихся'!F29,0)),"")),"")</f>
        <v>0</v>
      </c>
      <c r="H29" s="102">
        <f>IF(AND(OR($C29&lt;&gt;"",$D29&lt;&gt;""),$A29=1,$AI$2="ДА"),(IF($A29=1,IF(OR(AND($E29=1,'Ответы учащихся'!G29=1),AND($E29=2,'Ответы учащихся'!G29=3),AND($E29=3,'Ответы учащихся'!G29=3),AND($E29=4,'Ответы учащихся'!G29=3)),1,IF('Ответы учащихся'!G29="N",'Ответы учащихся'!G29,0)),"")),"")</f>
        <v>1</v>
      </c>
      <c r="I29" s="102">
        <f>IF(AND(OR($C29&lt;&gt;"",$D29&lt;&gt;""),$A29=1,$AI$2="ДА"),(IF($A29=1,IF(OR(AND($E29=1,'Ответы учащихся'!H29=-6),AND($E29=2,'Ответы учащихся'!H29=3),AND($E29=3,'Ответы учащихся'!H29=-8),AND($E29=4,'Ответы учащихся'!H29=-6)),1,IF('Ответы учащихся'!H29="N",'Ответы учащихся'!H29,0)),"")),"")</f>
        <v>1</v>
      </c>
      <c r="J29" s="102">
        <f>IF(AND(OR($C29&lt;&gt;"",$D29&lt;&gt;""),$A29=1,$AI$2="ДА"),(IF($A29=1,IF(OR(AND($E29=1,'Ответы учащихся'!I29=3412),AND($E29=2,'Ответы учащихся'!I29=2314),AND($E29=3,'Ответы учащихся'!I29=3142),AND($E29=4,'Ответы учащихся'!I29=1234)),1,IF('Ответы учащихся'!I29="N",'Ответы учащихся'!I29,0)),"")),"")</f>
        <v>1</v>
      </c>
      <c r="K29" s="102">
        <f>IF(AND(OR($C29&lt;&gt;"",$D29&lt;&gt;""),$A29=1,$AI$2="ДА"),(IF($A29=1,IF(OR(AND($E29=1,'Ответы учащихся'!J29=390),AND($E29=2,'Ответы учащихся'!J29=273),AND($E29=3,'Ответы учащихся'!J29=205),AND($E29=4,'Ответы учащихся'!J29=240)),1,IF('Ответы учащихся'!J29="N",'Ответы учащихся'!J29,0)),"")),"")</f>
        <v>1</v>
      </c>
      <c r="L29" s="102">
        <f>IF(AND(OR($C29&lt;&gt;"",$D29&lt;&gt;""),$A29=1,$AI$2="ДА"),(IF($A29=1,IF(OR(AND($E29=1,'Ответы учащихся'!K29=1),AND($E29=2,'Ответы учащихся'!K29=2),AND($E29=3,'Ответы учащихся'!K29=4),AND($E29=4,'Ответы учащихся'!K29=3)),1,IF('Ответы учащихся'!K29="N",'Ответы учащихся'!K29,0)),"")),"")</f>
        <v>1</v>
      </c>
      <c r="M29" s="102">
        <f>IF(AND(OR($C29&lt;&gt;"",$D29&lt;&gt;""),$A29=1,$AI$2="ДА"),(IF($A29=1,IF(OR(AND($E29=1,'Ответы учащихся'!L29=3),AND($E29=2,'Ответы учащихся'!L29=1),AND($E29=3,'Ответы учащихся'!L29=4),AND($E29=4,'Ответы учащихся'!L29=2)),1,IF('Ответы учащихся'!L29="N",'Ответы учащихся'!L29,0)),"")),"")</f>
        <v>1</v>
      </c>
      <c r="N29" s="102">
        <f>IF(AND(OR($C29&lt;&gt;"",$D29&lt;&gt;""),$A29=1,$AI$2="ДА"),'Ответы учащихся'!M29,"")</f>
        <v>0</v>
      </c>
      <c r="O29" s="102">
        <f>IF(AND(OR($C29&lt;&gt;"",$D29&lt;&gt;""),$A29=1,$AI$2="ДА"),(IF($A29=1,IF(OR(AND($E29=1,'Ответы учащихся'!N29=3),AND($E29=2,'Ответы учащихся'!N29=2),AND($E29=3,'Ответы учащихся'!N29=4),AND($E29=4,'Ответы учащихся'!N29=1)),1,IF('Ответы учащихся'!N29="N",'Ответы учащихся'!N29,0)),"")),"")</f>
        <v>1</v>
      </c>
      <c r="P29" s="102">
        <f>IF(AND(OR($C29&lt;&gt;"",$D29&lt;&gt;""),$A29=1,$AI$2="ДА"),(IF($A29=1,IF(OR(AND($E29=1,'Ответы учащихся'!O29="БВ"),AND($E29=2,'Ответы учащихся'!O29="АВГ"),AND($E29=3,'Ответы учащихся'!O29="БВГ"),AND($E29=4,'Ответы учащихся'!O29="АВ")),1,IF('Ответы учащихся'!O29="N",'Ответы учащихся'!O29,0)),"")),"")</f>
        <v>0</v>
      </c>
      <c r="Q29" s="102">
        <f>IF(AND(OR($C29&lt;&gt;"",$D29&lt;&gt;""),$A29=1,$AI$2="ДА"),(IF($A29=1,IF(OR(AND($E29=1,'Ответы учащихся'!P29=2351),AND($E29=2,'Ответы учащихся'!P29=4132),AND($E29=3,'Ответы учащихся'!P29=3412),AND($E29=4,'Ответы учащихся'!P29=3125)),1,IF('Ответы учащихся'!P29="N",'Ответы учащихся'!P29,0)),"")),"")</f>
        <v>1</v>
      </c>
      <c r="R29" s="102">
        <f>IF(AND(OR($C29&lt;&gt;"",$D29&lt;&gt;""),$A29=1,$AI$2="ДА"),(IF($A29=1,IF(OR(AND($E29=1,'Ответы учащихся'!Q29=2),AND($E29=2,'Ответы учащихся'!Q29=9),AND($E29=3,'Ответы учащихся'!Q29=5),AND($E29=4,'Ответы учащихся'!Q29=2)),1,IF('Ответы учащихся'!Q29="N",'Ответы учащихся'!Q29,0)),"")),"")</f>
        <v>1</v>
      </c>
      <c r="S29" s="102">
        <f>IF(AND(OR($C29&lt;&gt;"",$D29&lt;&gt;""),$A29=1,$AI$2="ДА"),(IF($A29=1,IF(OR(AND($E29=1,'Ответы учащихся'!R29=35),AND($E29=2,'Ответы учащихся'!R29=74),AND($E29=3,'Ответы учащихся'!R29=72),AND($E29=4,'Ответы учащихся'!R29=66)),1,IF('Ответы учащихся'!R29="N",'Ответы учащихся'!R29,0)),"")),"")</f>
        <v>1</v>
      </c>
      <c r="T29" s="102">
        <f>IF(AND(OR($C29&lt;&gt;"",$D29&lt;&gt;""),$A29=1,$AI$2="ДА"),(IF($A29=1,IF(OR(AND($E29=1,'Ответы учащихся'!S29=60),AND($E29=2,'Ответы учащихся'!S29=40),AND($E29=3,'Ответы учащихся'!S29=30),AND($E29=4,'Ответы учащихся'!S29=18)),1,IF('Ответы учащихся'!S29="N",'Ответы учащихся'!S29,0)),"")),"")</f>
        <v>0</v>
      </c>
      <c r="U29" s="102">
        <f>IF(AND(OR($C29&lt;&gt;"",$D29&lt;&gt;""),$A29=1,$AI$2="ДА"),(IF($A29=1,IF(OR(AND($E29=1,'Ответы учащихся'!T29=3),AND($E29=2,'Ответы учащихся'!T29=4),AND($E29=3,'Ответы учащихся'!T29=2),AND($E29=4,'Ответы учащихся'!T29=3)),1,IF('Ответы учащихся'!T29="N",'Ответы учащихся'!T29,0)),"")),"")</f>
        <v>1</v>
      </c>
      <c r="V29" s="102">
        <f>IF(AND(OR($C29&lt;&gt;"",$D29&lt;&gt;""),$A29=1,$AI$2="ДА"),(IF($A29=1,IF(OR(AND($E29=1,'Ответы учащихся'!U29=11),AND($E29=2,'Ответы учащихся'!U29=14),AND($E29=3,'Ответы учащихся'!U29=-2),AND($E29=4,'Ответы учащихся'!U29=25)),1,IF('Ответы учащихся'!U29="N",'Ответы учащихся'!U29,0)),"")),"")</f>
        <v>1</v>
      </c>
      <c r="W29" s="102">
        <f>IF(AND(OR($C29&lt;&gt;"",$D29&lt;&gt;""),$A29=1,$AI$2="ДА"),(IF($A29=1,IF(OR(AND($E29=1,'Ответы учащихся'!V29=3000),AND($E29=2,'Ответы учащихся'!V29=2500),AND($E29=3,'Ответы учащихся'!V29=1500),AND($E29=4,'Ответы учащихся'!V29=1500)),1,IF('Ответы учащихся'!V29="N",'Ответы учащихся'!V29,0)),"")),"")</f>
        <v>1</v>
      </c>
      <c r="X29" s="102"/>
      <c r="Y29" s="102">
        <f>IF(AND(OR($C29&lt;&gt;"",$D29&lt;&gt;""),$A29=1,$AI$2="ДА"),(IF($A29=1,IF(AND('Ответы учащихся'!$W29&lt;&gt;"N",'Ответы учащихся'!$X29&lt;&gt;"N",'Ответы учащихся'!$Y29&lt;&gt;"N",'Ответы учащихся'!$Z29&lt;&gt;"N",'Ответы учащихся'!$AA29&lt;&gt;"N"),(SUM('Ответы учащихся'!$W29:$AA29)),"N"),"")),"")</f>
        <v>1.2000000000000002</v>
      </c>
      <c r="Z29" s="102"/>
      <c r="AA29" s="102" t="str">
        <f>IF(AND(OR($C29&lt;&gt;"",$D29&lt;&gt;""),$A29=1,$AI$2="ДА"),(IF($A29=1,IF(AND('Ответы учащихся'!$AB29&lt;&gt;"N",'Ответы учащихся'!$AC29&lt;&gt;"N",'Ответы учащихся'!$AD29&lt;&gt;"N",'Ответы учащихся'!$AE29&lt;&gt;"N"),(SUM('Ответы учащихся'!$AB29:$AE29)),"N"),"")),"")</f>
        <v>N</v>
      </c>
      <c r="AB29" s="289" t="str">
        <f>IF(AND(OR($C29&lt;&gt;"",$D29&lt;&gt;""),$A29=1,$AI$2="ДА"),(IF($A29=1,IF(AND('Ответы учащихся'!$AF29&lt;&gt;"N",'Ответы учащихся'!$AG29&lt;&gt;"N",'Ответы учащихся'!$AH29&lt;&gt;"N",'Ответы учащихся'!$AI29&lt;&gt;"N"),(SUM('Ответы учащихся'!$AF29:$AI29)),"N"),"")),"")</f>
        <v>N</v>
      </c>
      <c r="AC29" s="468">
        <f t="shared" si="6"/>
        <v>15.2</v>
      </c>
      <c r="AD29" s="326">
        <f t="shared" si="7"/>
        <v>0.6333333333333333</v>
      </c>
      <c r="AE29" s="327">
        <f t="shared" si="8"/>
        <v>14</v>
      </c>
      <c r="AF29" s="328">
        <f t="shared" si="9"/>
        <v>77.777777777777786</v>
      </c>
      <c r="AG29" s="327">
        <f t="shared" si="10"/>
        <v>1.2000000000000002</v>
      </c>
      <c r="AH29" s="329">
        <f t="shared" si="11"/>
        <v>20.000000000000004</v>
      </c>
      <c r="AI29" s="456" t="str">
        <f t="shared" si="12"/>
        <v>БАЗОВЫЙ</v>
      </c>
      <c r="AJ29" s="446">
        <f t="shared" si="13"/>
        <v>16.614705882352936</v>
      </c>
      <c r="AK29" s="447">
        <f t="shared" si="14"/>
        <v>0.69227941176470575</v>
      </c>
      <c r="AL29" s="445">
        <v>9</v>
      </c>
      <c r="AM29" s="446">
        <f t="shared" si="15"/>
        <v>77.287581699346404</v>
      </c>
      <c r="AN29" s="442">
        <f>IF($A29=1,IF(OR(AND($E29=1,'Ответы учащихся'!W29=0.4),AND($E29=2,'Ответы учащихся'!W29=0.4),AND($E29=3,'Ответы учащихся'!W29=0.4),AND($E29=4,'Ответы учащихся'!W29=0.4)),1,IF('Ответы учащихся'!W29="N",'Ответы учащихся'!W29,0)),"")</f>
        <v>1</v>
      </c>
      <c r="AO29" s="434">
        <f>IF($A29=1,IF(OR(AND($E29=1,'Ответы учащихся'!X29=0.4),AND($E29=2,'Ответы учащихся'!X29=0.4),AND($E29=3,'Ответы учащихся'!X29=0.4),AND($E29=4,'Ответы учащихся'!X29=0.4)),1,IF('Ответы учащихся'!X29="N",'Ответы учащихся'!X29,0)),"")</f>
        <v>1</v>
      </c>
      <c r="AP29" s="434">
        <f>IF($A29=1,IF(OR(AND($E29=1,'Ответы учащихся'!Y29=0.4),AND($E29=2,'Ответы учащихся'!Y29=0.4),AND($E29=3,'Ответы учащихся'!Y29=0.4),AND($E29=4,'Ответы учащихся'!Y29=0.4)),1,IF('Ответы учащихся'!Y29="N",'Ответы учащихся'!Y29,0)),"")</f>
        <v>1</v>
      </c>
      <c r="AQ29" s="434">
        <f>IF($A29=1,IF(OR(AND($E29=1,'Ответы учащихся'!Z29=0.4),AND($E29=2,'Ответы учащихся'!Z29=0.4),AND($E29=3,'Ответы учащихся'!Z29=0.4),AND($E29=4,'Ответы учащихся'!Z29=0.4)),1,IF('Ответы учащихся'!Z29="N",'Ответы учащихся'!Z29,0)),"")</f>
        <v>0</v>
      </c>
      <c r="AR29" s="434">
        <f>IF($A29=1,IF(OR(AND($E29=1,'Ответы учащихся'!AA29=0.4),AND($E29=2,'Ответы учащихся'!AA29=0.4),AND($E29=3,'Ответы учащихся'!AA29=0.4),AND($E29=4,'Ответы учащихся'!AA29=0.4)),1,IF('Ответы учащихся'!AA29="N",'Ответы учащихся'!AA29,0)),"")</f>
        <v>0</v>
      </c>
      <c r="AS29" s="435" t="str">
        <f>IF($A29=1,IF(OR(AND($E29=1,'Ответы учащихся'!AB29=0.5),AND($E29=2,'Ответы учащихся'!AB29=0.5),AND($E29=3,'Ответы учащихся'!AB29=0.5),AND($E29=4,'Ответы учащихся'!AB29=0.5)),1,IF('Ответы учащихся'!AB29="N",'Ответы учащихся'!AB29,0)),"")</f>
        <v>N</v>
      </c>
      <c r="AT29" s="435" t="str">
        <f>IF($A29=1,IF(OR(AND($E29=1,'Ответы учащихся'!AC29=0.5),AND($E29=2,'Ответы учащихся'!AC29=0.5),AND($E29=3,'Ответы учащихся'!AC29=0.5),AND($E29=4,'Ответы учащихся'!AC29=0.5)),1,IF('Ответы учащихся'!AC29="N",'Ответы учащихся'!AC29,0)),"")</f>
        <v>N</v>
      </c>
      <c r="AU29" s="435" t="str">
        <f>IF($A29=1,IF(OR(AND($E29=1,'Ответы учащихся'!AD29=0.5),AND($E29=2,'Ответы учащихся'!AD29=0.5),AND($E29=3,'Ответы учащихся'!AD29=0.5),AND($E29=4,'Ответы учащихся'!AD29=0.5)),1,IF('Ответы учащихся'!AD29="N",'Ответы учащихся'!AD29,0)),"")</f>
        <v>N</v>
      </c>
      <c r="AV29" s="435" t="str">
        <f>IF($A29=1,IF(OR(AND($E29=1,'Ответы учащихся'!AE29=0.5),AND($E29=2,'Ответы учащихся'!AE29=0.5),AND($E29=3,'Ответы учащихся'!AE29=0.5),AND($E29=4,'Ответы учащихся'!AE29=0.5)),1,IF('Ответы учащихся'!AE29="N",'Ответы учащихся'!AE29,0)),"")</f>
        <v>N</v>
      </c>
      <c r="AW29" s="436" t="str">
        <f>IF($A29=1,IF(OR(AND($E29=1,'Ответы учащихся'!AF29=0.5),AND($E29=2,'Ответы учащихся'!AF29=0.5),AND($E29=3,'Ответы учащихся'!AF29=0.5),AND($E29=4,'Ответы учащихся'!AF29=0.5)),1,IF('Ответы учащихся'!AF29="N",'Ответы учащихся'!AF29,0)),"")</f>
        <v>N</v>
      </c>
      <c r="AX29" s="436" t="str">
        <f>IF($A29=1,IF(OR(AND($E29=1,'Ответы учащихся'!AG29=0.5),AND($E29=2,'Ответы учащихся'!AG29=0.5),AND($E29=3,'Ответы учащихся'!AG29=0.5),AND($E29=4,'Ответы учащихся'!AG29=0.5)),1,IF('Ответы учащихся'!AG29="N",'Ответы учащихся'!AG29,0)),"")</f>
        <v>N</v>
      </c>
      <c r="AY29" s="436" t="str">
        <f>IF($A29=1,IF(OR(AND($E29=1,'Ответы учащихся'!AH29=0.5),AND($E29=2,'Ответы учащихся'!AH29=0.5),AND($E29=3,'Ответы учащихся'!AH29=0.5),AND($E29=4,'Ответы учащихся'!AH29=0.5)),1,IF('Ответы учащихся'!AH29="N",'Ответы учащихся'!AH29,0)),"")</f>
        <v>N</v>
      </c>
      <c r="AZ29" s="436" t="str">
        <f>IF($A29=1,IF(OR(AND($E29=1,'Ответы учащихся'!AI29=0.5),AND($E29=2,'Ответы учащихся'!AI29=0.5),AND($E29=3,'Ответы учащихся'!AI29=0.5),AND($E29=4,'Ответы учащихся'!AI29=0.5)),1,IF('Ответы учащихся'!AI29="N",'Ответы учащихся'!AI29,0)),"")</f>
        <v>N</v>
      </c>
      <c r="BA29" s="429"/>
      <c r="BB29" s="429"/>
      <c r="BC29" s="429"/>
      <c r="BD29" s="429"/>
      <c r="BE29" s="419"/>
      <c r="BF29" s="419"/>
      <c r="BG29" s="6"/>
      <c r="BH29" s="6"/>
      <c r="BI29" s="6"/>
      <c r="BJ29" s="6"/>
    </row>
    <row r="30" spans="1:62" ht="12.75" customHeight="1" x14ac:dyDescent="0.2">
      <c r="A30" s="12">
        <f>IF('СПИСОК КЛАССА'!J30&gt;0,1,0)</f>
        <v>1</v>
      </c>
      <c r="B30" s="100">
        <v>11</v>
      </c>
      <c r="C30" s="101">
        <f>IF(NOT(ISBLANK('СПИСОК КЛАССА'!C30)),'СПИСОК КЛАССА'!C30,"")</f>
        <v>11</v>
      </c>
      <c r="D30" s="134" t="str">
        <f>IF(NOT(ISBLANK('СПИСОК КЛАССА'!D30)),IF($A30=1,'СПИСОК КЛАССА'!D30, "УЧЕНИК НЕ ВЫПОЛНЯЛ РАБОТУ"),"")</f>
        <v/>
      </c>
      <c r="E30" s="459">
        <f>IF($C30&lt;&gt;"",'СПИСОК КЛАССА'!J30,"")</f>
        <v>3</v>
      </c>
      <c r="F30" s="133">
        <f>IF(AND(OR($C30&lt;&gt;"",$D30&lt;&gt;""),$A30=1,$AI$2="ДА"),'Ответы учащихся'!E30,"")</f>
        <v>1</v>
      </c>
      <c r="G30" s="102">
        <f>IF(AND(OR($C30&lt;&gt;"",$D30&lt;&gt;""),$A30=1,$AI$2="ДА"),(IF($A30=1,IF(OR(AND($E30=1,'Ответы учащихся'!F30=2),AND($E30=2,'Ответы учащихся'!F30=4),AND($E30=3,OR('Ответы учащихся'!F30=3,'Ответы учащихся'!F30=4)),AND($E30=4,'Ответы учащихся'!F30=1)),1,IF('Ответы учащихся'!F30="N",'Ответы учащихся'!F30,0)),"")),"")</f>
        <v>1</v>
      </c>
      <c r="H30" s="102">
        <f>IF(AND(OR($C30&lt;&gt;"",$D30&lt;&gt;""),$A30=1,$AI$2="ДА"),(IF($A30=1,IF(OR(AND($E30=1,'Ответы учащихся'!G30=1),AND($E30=2,'Ответы учащихся'!G30=3),AND($E30=3,'Ответы учащихся'!G30=3),AND($E30=4,'Ответы учащихся'!G30=3)),1,IF('Ответы учащихся'!G30="N",'Ответы учащихся'!G30,0)),"")),"")</f>
        <v>1</v>
      </c>
      <c r="I30" s="102">
        <f>IF(AND(OR($C30&lt;&gt;"",$D30&lt;&gt;""),$A30=1,$AI$2="ДА"),(IF($A30=1,IF(OR(AND($E30=1,'Ответы учащихся'!H30=-6),AND($E30=2,'Ответы учащихся'!H30=3),AND($E30=3,'Ответы учащихся'!H30=-8),AND($E30=4,'Ответы учащихся'!H30=-6)),1,IF('Ответы учащихся'!H30="N",'Ответы учащихся'!H30,0)),"")),"")</f>
        <v>1</v>
      </c>
      <c r="J30" s="102">
        <f>IF(AND(OR($C30&lt;&gt;"",$D30&lt;&gt;""),$A30=1,$AI$2="ДА"),(IF($A30=1,IF(OR(AND($E30=1,'Ответы учащихся'!I30=3412),AND($E30=2,'Ответы учащихся'!I30=2314),AND($E30=3,'Ответы учащихся'!I30=3142),AND($E30=4,'Ответы учащихся'!I30=1234)),1,IF('Ответы учащихся'!I30="N",'Ответы учащихся'!I30,0)),"")),"")</f>
        <v>1</v>
      </c>
      <c r="K30" s="102">
        <f>IF(AND(OR($C30&lt;&gt;"",$D30&lt;&gt;""),$A30=1,$AI$2="ДА"),(IF($A30=1,IF(OR(AND($E30=1,'Ответы учащихся'!J30=390),AND($E30=2,'Ответы учащихся'!J30=273),AND($E30=3,'Ответы учащихся'!J30=205),AND($E30=4,'Ответы учащихся'!J30=240)),1,IF('Ответы учащихся'!J30="N",'Ответы учащихся'!J30,0)),"")),"")</f>
        <v>1</v>
      </c>
      <c r="L30" s="102">
        <f>IF(AND(OR($C30&lt;&gt;"",$D30&lt;&gt;""),$A30=1,$AI$2="ДА"),(IF($A30=1,IF(OR(AND($E30=1,'Ответы учащихся'!K30=1),AND($E30=2,'Ответы учащихся'!K30=2),AND($E30=3,'Ответы учащихся'!K30=4),AND($E30=4,'Ответы учащихся'!K30=3)),1,IF('Ответы учащихся'!K30="N",'Ответы учащихся'!K30,0)),"")),"")</f>
        <v>1</v>
      </c>
      <c r="M30" s="102">
        <f>IF(AND(OR($C30&lt;&gt;"",$D30&lt;&gt;""),$A30=1,$AI$2="ДА"),(IF($A30=1,IF(OR(AND($E30=1,'Ответы учащихся'!L30=3),AND($E30=2,'Ответы учащихся'!L30=1),AND($E30=3,'Ответы учащихся'!L30=4),AND($E30=4,'Ответы учащихся'!L30=2)),1,IF('Ответы учащихся'!L30="N",'Ответы учащихся'!L30,0)),"")),"")</f>
        <v>1</v>
      </c>
      <c r="N30" s="102">
        <f>IF(AND(OR($C30&lt;&gt;"",$D30&lt;&gt;""),$A30=1,$AI$2="ДА"),'Ответы учащихся'!M30,"")</f>
        <v>1</v>
      </c>
      <c r="O30" s="102">
        <f>IF(AND(OR($C30&lt;&gt;"",$D30&lt;&gt;""),$A30=1,$AI$2="ДА"),(IF($A30=1,IF(OR(AND($E30=1,'Ответы учащихся'!N30=3),AND($E30=2,'Ответы учащихся'!N30=2),AND($E30=3,'Ответы учащихся'!N30=4),AND($E30=4,'Ответы учащихся'!N30=1)),1,IF('Ответы учащихся'!N30="N",'Ответы учащихся'!N30,0)),"")),"")</f>
        <v>1</v>
      </c>
      <c r="P30" s="102">
        <f>IF(AND(OR($C30&lt;&gt;"",$D30&lt;&gt;""),$A30=1,$AI$2="ДА"),(IF($A30=1,IF(OR(AND($E30=1,'Ответы учащихся'!O30="БВ"),AND($E30=2,'Ответы учащихся'!O30="АВГ"),AND($E30=3,'Ответы учащихся'!O30="БВГ"),AND($E30=4,'Ответы учащихся'!O30="АВ")),1,IF('Ответы учащихся'!O30="N",'Ответы учащихся'!O30,0)),"")),"")</f>
        <v>1</v>
      </c>
      <c r="Q30" s="102">
        <f>IF(AND(OR($C30&lt;&gt;"",$D30&lt;&gt;""),$A30=1,$AI$2="ДА"),(IF($A30=1,IF(OR(AND($E30=1,'Ответы учащихся'!P30=2351),AND($E30=2,'Ответы учащихся'!P30=4132),AND($E30=3,'Ответы учащихся'!P30=3412),AND($E30=4,'Ответы учащихся'!P30=3125)),1,IF('Ответы учащихся'!P30="N",'Ответы учащихся'!P30,0)),"")),"")</f>
        <v>1</v>
      </c>
      <c r="R30" s="102">
        <f>IF(AND(OR($C30&lt;&gt;"",$D30&lt;&gt;""),$A30=1,$AI$2="ДА"),(IF($A30=1,IF(OR(AND($E30=1,'Ответы учащихся'!Q30=2),AND($E30=2,'Ответы учащихся'!Q30=9),AND($E30=3,'Ответы учащихся'!Q30=5),AND($E30=4,'Ответы учащихся'!Q30=2)),1,IF('Ответы учащихся'!Q30="N",'Ответы учащихся'!Q30,0)),"")),"")</f>
        <v>1</v>
      </c>
      <c r="S30" s="102">
        <f>IF(AND(OR($C30&lt;&gt;"",$D30&lt;&gt;""),$A30=1,$AI$2="ДА"),(IF($A30=1,IF(OR(AND($E30=1,'Ответы учащихся'!R30=35),AND($E30=2,'Ответы учащихся'!R30=74),AND($E30=3,'Ответы учащихся'!R30=72),AND($E30=4,'Ответы учащихся'!R30=66)),1,IF('Ответы учащихся'!R30="N",'Ответы учащихся'!R30,0)),"")),"")</f>
        <v>1</v>
      </c>
      <c r="T30" s="102">
        <f>IF(AND(OR($C30&lt;&gt;"",$D30&lt;&gt;""),$A30=1,$AI$2="ДА"),(IF($A30=1,IF(OR(AND($E30=1,'Ответы учащихся'!S30=60),AND($E30=2,'Ответы учащихся'!S30=40),AND($E30=3,'Ответы учащихся'!S30=30),AND($E30=4,'Ответы учащихся'!S30=18)),1,IF('Ответы учащихся'!S30="N",'Ответы учащихся'!S30,0)),"")),"")</f>
        <v>0</v>
      </c>
      <c r="U30" s="102">
        <f>IF(AND(OR($C30&lt;&gt;"",$D30&lt;&gt;""),$A30=1,$AI$2="ДА"),(IF($A30=1,IF(OR(AND($E30=1,'Ответы учащихся'!T30=3),AND($E30=2,'Ответы учащихся'!T30=4),AND($E30=3,'Ответы учащихся'!T30=2),AND($E30=4,'Ответы учащихся'!T30=3)),1,IF('Ответы учащихся'!T30="N",'Ответы учащихся'!T30,0)),"")),"")</f>
        <v>1</v>
      </c>
      <c r="V30" s="102">
        <f>IF(AND(OR($C30&lt;&gt;"",$D30&lt;&gt;""),$A30=1,$AI$2="ДА"),(IF($A30=1,IF(OR(AND($E30=1,'Ответы учащихся'!U30=11),AND($E30=2,'Ответы учащихся'!U30=14),AND($E30=3,'Ответы учащихся'!U30=-2),AND($E30=4,'Ответы учащихся'!U30=25)),1,IF('Ответы учащихся'!U30="N",'Ответы учащихся'!U30,0)),"")),"")</f>
        <v>1</v>
      </c>
      <c r="W30" s="102">
        <f>IF(AND(OR($C30&lt;&gt;"",$D30&lt;&gt;""),$A30=1,$AI$2="ДА"),(IF($A30=1,IF(OR(AND($E30=1,'Ответы учащихся'!V30=3000),AND($E30=2,'Ответы учащихся'!V30=2500),AND($E30=3,'Ответы учащихся'!V30=1500),AND($E30=4,'Ответы учащихся'!V30=1500)),1,IF('Ответы учащихся'!V30="N",'Ответы учащихся'!V30,0)),"")),"")</f>
        <v>1</v>
      </c>
      <c r="X30" s="102"/>
      <c r="Y30" s="102">
        <f>IF(AND(OR($C30&lt;&gt;"",$D30&lt;&gt;""),$A30=1,$AI$2="ДА"),(IF($A30=1,IF(AND('Ответы учащихся'!$W30&lt;&gt;"N",'Ответы учащихся'!$X30&lt;&gt;"N",'Ответы учащихся'!$Y30&lt;&gt;"N",'Ответы учащихся'!$Z30&lt;&gt;"N",'Ответы учащихся'!$AA30&lt;&gt;"N"),(SUM('Ответы учащихся'!$W30:$AA30)),"N"),"")),"")</f>
        <v>1.2000000000000002</v>
      </c>
      <c r="Z30" s="102"/>
      <c r="AA30" s="102" t="str">
        <f>IF(AND(OR($C30&lt;&gt;"",$D30&lt;&gt;""),$A30=1,$AI$2="ДА"),(IF($A30=1,IF(AND('Ответы учащихся'!$AB30&lt;&gt;"N",'Ответы учащихся'!$AC30&lt;&gt;"N",'Ответы учащихся'!$AD30&lt;&gt;"N",'Ответы учащихся'!$AE30&lt;&gt;"N"),(SUM('Ответы учащихся'!$AB30:$AE30)),"N"),"")),"")</f>
        <v>N</v>
      </c>
      <c r="AB30" s="289" t="str">
        <f>IF(AND(OR($C30&lt;&gt;"",$D30&lt;&gt;""),$A30=1,$AI$2="ДА"),(IF($A30=1,IF(AND('Ответы учащихся'!$AF30&lt;&gt;"N",'Ответы учащихся'!$AG30&lt;&gt;"N",'Ответы учащихся'!$AH30&lt;&gt;"N",'Ответы учащихся'!$AI30&lt;&gt;"N"),(SUM('Ответы учащихся'!$AF30:$AI30)),"N"),"")),"")</f>
        <v>N</v>
      </c>
      <c r="AC30" s="468">
        <f t="shared" si="6"/>
        <v>18.2</v>
      </c>
      <c r="AD30" s="326">
        <f t="shared" si="7"/>
        <v>0.7583333333333333</v>
      </c>
      <c r="AE30" s="327">
        <f t="shared" si="8"/>
        <v>17</v>
      </c>
      <c r="AF30" s="328">
        <f t="shared" si="9"/>
        <v>94.444444444444443</v>
      </c>
      <c r="AG30" s="327">
        <f t="shared" si="10"/>
        <v>1.2000000000000002</v>
      </c>
      <c r="AH30" s="329">
        <f t="shared" si="11"/>
        <v>20.000000000000004</v>
      </c>
      <c r="AI30" s="456" t="str">
        <f t="shared" si="12"/>
        <v>ПОВЫШЕННЫЙ</v>
      </c>
      <c r="AJ30" s="446">
        <f t="shared" si="13"/>
        <v>16.614705882352936</v>
      </c>
      <c r="AK30" s="447">
        <f t="shared" si="14"/>
        <v>0.69227941176470575</v>
      </c>
      <c r="AL30" s="445">
        <v>9</v>
      </c>
      <c r="AM30" s="446">
        <f t="shared" si="15"/>
        <v>77.287581699346404</v>
      </c>
      <c r="AN30" s="442">
        <f>IF($A30=1,IF(OR(AND($E30=1,'Ответы учащихся'!W30=0.4),AND($E30=2,'Ответы учащихся'!W30=0.4),AND($E30=3,'Ответы учащихся'!W30=0.4),AND($E30=4,'Ответы учащихся'!W30=0.4)),1,IF('Ответы учащихся'!W30="N",'Ответы учащихся'!W30,0)),"")</f>
        <v>1</v>
      </c>
      <c r="AO30" s="434">
        <f>IF($A30=1,IF(OR(AND($E30=1,'Ответы учащихся'!X30=0.4),AND($E30=2,'Ответы учащихся'!X30=0.4),AND($E30=3,'Ответы учащихся'!X30=0.4),AND($E30=4,'Ответы учащихся'!X30=0.4)),1,IF('Ответы учащихся'!X30="N",'Ответы учащихся'!X30,0)),"")</f>
        <v>1</v>
      </c>
      <c r="AP30" s="434">
        <f>IF($A30=1,IF(OR(AND($E30=1,'Ответы учащихся'!Y30=0.4),AND($E30=2,'Ответы учащихся'!Y30=0.4),AND($E30=3,'Ответы учащихся'!Y30=0.4),AND($E30=4,'Ответы учащихся'!Y30=0.4)),1,IF('Ответы учащихся'!Y30="N",'Ответы учащихся'!Y30,0)),"")</f>
        <v>1</v>
      </c>
      <c r="AQ30" s="434">
        <f>IF($A30=1,IF(OR(AND($E30=1,'Ответы учащихся'!Z30=0.4),AND($E30=2,'Ответы учащихся'!Z30=0.4),AND($E30=3,'Ответы учащихся'!Z30=0.4),AND($E30=4,'Ответы учащихся'!Z30=0.4)),1,IF('Ответы учащихся'!Z30="N",'Ответы учащихся'!Z30,0)),"")</f>
        <v>0</v>
      </c>
      <c r="AR30" s="434">
        <f>IF($A30=1,IF(OR(AND($E30=1,'Ответы учащихся'!AA30=0.4),AND($E30=2,'Ответы учащихся'!AA30=0.4),AND($E30=3,'Ответы учащихся'!AA30=0.4),AND($E30=4,'Ответы учащихся'!AA30=0.4)),1,IF('Ответы учащихся'!AA30="N",'Ответы учащихся'!AA30,0)),"")</f>
        <v>0</v>
      </c>
      <c r="AS30" s="435" t="str">
        <f>IF($A30=1,IF(OR(AND($E30=1,'Ответы учащихся'!AB30=0.5),AND($E30=2,'Ответы учащихся'!AB30=0.5),AND($E30=3,'Ответы учащихся'!AB30=0.5),AND($E30=4,'Ответы учащихся'!AB30=0.5)),1,IF('Ответы учащихся'!AB30="N",'Ответы учащихся'!AB30,0)),"")</f>
        <v>N</v>
      </c>
      <c r="AT30" s="435" t="str">
        <f>IF($A30=1,IF(OR(AND($E30=1,'Ответы учащихся'!AC30=0.5),AND($E30=2,'Ответы учащихся'!AC30=0.5),AND($E30=3,'Ответы учащихся'!AC30=0.5),AND($E30=4,'Ответы учащихся'!AC30=0.5)),1,IF('Ответы учащихся'!AC30="N",'Ответы учащихся'!AC30,0)),"")</f>
        <v>N</v>
      </c>
      <c r="AU30" s="435" t="str">
        <f>IF($A30=1,IF(OR(AND($E30=1,'Ответы учащихся'!AD30=0.5),AND($E30=2,'Ответы учащихся'!AD30=0.5),AND($E30=3,'Ответы учащихся'!AD30=0.5),AND($E30=4,'Ответы учащихся'!AD30=0.5)),1,IF('Ответы учащихся'!AD30="N",'Ответы учащихся'!AD30,0)),"")</f>
        <v>N</v>
      </c>
      <c r="AV30" s="435" t="str">
        <f>IF($A30=1,IF(OR(AND($E30=1,'Ответы учащихся'!AE30=0.5),AND($E30=2,'Ответы учащихся'!AE30=0.5),AND($E30=3,'Ответы учащихся'!AE30=0.5),AND($E30=4,'Ответы учащихся'!AE30=0.5)),1,IF('Ответы учащихся'!AE30="N",'Ответы учащихся'!AE30,0)),"")</f>
        <v>N</v>
      </c>
      <c r="AW30" s="436" t="str">
        <f>IF($A30=1,IF(OR(AND($E30=1,'Ответы учащихся'!AF30=0.5),AND($E30=2,'Ответы учащихся'!AF30=0.5),AND($E30=3,'Ответы учащихся'!AF30=0.5),AND($E30=4,'Ответы учащихся'!AF30=0.5)),1,IF('Ответы учащихся'!AF30="N",'Ответы учащихся'!AF30,0)),"")</f>
        <v>N</v>
      </c>
      <c r="AX30" s="436" t="str">
        <f>IF($A30=1,IF(OR(AND($E30=1,'Ответы учащихся'!AG30=0.5),AND($E30=2,'Ответы учащихся'!AG30=0.5),AND($E30=3,'Ответы учащихся'!AG30=0.5),AND($E30=4,'Ответы учащихся'!AG30=0.5)),1,IF('Ответы учащихся'!AG30="N",'Ответы учащихся'!AG30,0)),"")</f>
        <v>N</v>
      </c>
      <c r="AY30" s="436" t="str">
        <f>IF($A30=1,IF(OR(AND($E30=1,'Ответы учащихся'!AH30=0.5),AND($E30=2,'Ответы учащихся'!AH30=0.5),AND($E30=3,'Ответы учащихся'!AH30=0.5),AND($E30=4,'Ответы учащихся'!AH30=0.5)),1,IF('Ответы учащихся'!AH30="N",'Ответы учащихся'!AH30,0)),"")</f>
        <v>N</v>
      </c>
      <c r="AZ30" s="436" t="str">
        <f>IF($A30=1,IF(OR(AND($E30=1,'Ответы учащихся'!AI30=0.5),AND($E30=2,'Ответы учащихся'!AI30=0.5),AND($E30=3,'Ответы учащихся'!AI30=0.5),AND($E30=4,'Ответы учащихся'!AI30=0.5)),1,IF('Ответы учащихся'!AI30="N",'Ответы учащихся'!AI30,0)),"")</f>
        <v>N</v>
      </c>
      <c r="BA30" s="429"/>
      <c r="BB30" s="429"/>
      <c r="BC30" s="429"/>
      <c r="BD30" s="429"/>
      <c r="BE30" s="419"/>
      <c r="BF30" s="419"/>
      <c r="BG30" s="6"/>
      <c r="BH30" s="6"/>
      <c r="BI30" s="6"/>
      <c r="BJ30" s="6"/>
    </row>
    <row r="31" spans="1:62" ht="12.75" customHeight="1" x14ac:dyDescent="0.2">
      <c r="A31" s="12">
        <f>IF('СПИСОК КЛАССА'!J31&gt;0,1,0)</f>
        <v>1</v>
      </c>
      <c r="B31" s="100">
        <v>12</v>
      </c>
      <c r="C31" s="101">
        <f>IF(NOT(ISBLANK('СПИСОК КЛАССА'!C31)),'СПИСОК КЛАССА'!C31,"")</f>
        <v>12</v>
      </c>
      <c r="D31" s="134" t="str">
        <f>IF(NOT(ISBLANK('СПИСОК КЛАССА'!D31)),IF($A31=1,'СПИСОК КЛАССА'!D31, "УЧЕНИК НЕ ВЫПОЛНЯЛ РАБОТУ"),"")</f>
        <v/>
      </c>
      <c r="E31" s="459">
        <f>IF($C31&lt;&gt;"",'СПИСОК КЛАССА'!J31,"")</f>
        <v>4</v>
      </c>
      <c r="F31" s="133">
        <f>IF(AND(OR($C31&lt;&gt;"",$D31&lt;&gt;""),$A31=1,$AI$2="ДА"),'Ответы учащихся'!E31,"")</f>
        <v>1</v>
      </c>
      <c r="G31" s="102">
        <f>IF(AND(OR($C31&lt;&gt;"",$D31&lt;&gt;""),$A31=1,$AI$2="ДА"),(IF($A31=1,IF(OR(AND($E31=1,'Ответы учащихся'!F31=2),AND($E31=2,'Ответы учащихся'!F31=4),AND($E31=3,OR('Ответы учащихся'!F31=3,'Ответы учащихся'!F31=4)),AND($E31=4,'Ответы учащихся'!F31=1)),1,IF('Ответы учащихся'!F31="N",'Ответы учащихся'!F31,0)),"")),"")</f>
        <v>1</v>
      </c>
      <c r="H31" s="102">
        <f>IF(AND(OR($C31&lt;&gt;"",$D31&lt;&gt;""),$A31=1,$AI$2="ДА"),(IF($A31=1,IF(OR(AND($E31=1,'Ответы учащихся'!G31=1),AND($E31=2,'Ответы учащихся'!G31=3),AND($E31=3,'Ответы учащихся'!G31=3),AND($E31=4,'Ответы учащихся'!G31=3)),1,IF('Ответы учащихся'!G31="N",'Ответы учащихся'!G31,0)),"")),"")</f>
        <v>0</v>
      </c>
      <c r="I31" s="102">
        <f>IF(AND(OR($C31&lt;&gt;"",$D31&lt;&gt;""),$A31=1,$AI$2="ДА"),(IF($A31=1,IF(OR(AND($E31=1,'Ответы учащихся'!H31=-6),AND($E31=2,'Ответы учащихся'!H31=3),AND($E31=3,'Ответы учащихся'!H31=-8),AND($E31=4,'Ответы учащихся'!H31=-6)),1,IF('Ответы учащихся'!H31="N",'Ответы учащихся'!H31,0)),"")),"")</f>
        <v>1</v>
      </c>
      <c r="J31" s="102">
        <f>IF(AND(OR($C31&lt;&gt;"",$D31&lt;&gt;""),$A31=1,$AI$2="ДА"),(IF($A31=1,IF(OR(AND($E31=1,'Ответы учащихся'!I31=3412),AND($E31=2,'Ответы учащихся'!I31=2314),AND($E31=3,'Ответы учащихся'!I31=3142),AND($E31=4,'Ответы учащихся'!I31=1234)),1,IF('Ответы учащихся'!I31="N",'Ответы учащихся'!I31,0)),"")),"")</f>
        <v>1</v>
      </c>
      <c r="K31" s="102">
        <f>IF(AND(OR($C31&lt;&gt;"",$D31&lt;&gt;""),$A31=1,$AI$2="ДА"),(IF($A31=1,IF(OR(AND($E31=1,'Ответы учащихся'!J31=390),AND($E31=2,'Ответы учащихся'!J31=273),AND($E31=3,'Ответы учащихся'!J31=205),AND($E31=4,'Ответы учащихся'!J31=240)),1,IF('Ответы учащихся'!J31="N",'Ответы учащихся'!J31,0)),"")),"")</f>
        <v>1</v>
      </c>
      <c r="L31" s="102">
        <f>IF(AND(OR($C31&lt;&gt;"",$D31&lt;&gt;""),$A31=1,$AI$2="ДА"),(IF($A31=1,IF(OR(AND($E31=1,'Ответы учащихся'!K31=1),AND($E31=2,'Ответы учащихся'!K31=2),AND($E31=3,'Ответы учащихся'!K31=4),AND($E31=4,'Ответы учащихся'!K31=3)),1,IF('Ответы учащихся'!K31="N",'Ответы учащихся'!K31,0)),"")),"")</f>
        <v>1</v>
      </c>
      <c r="M31" s="102">
        <f>IF(AND(OR($C31&lt;&gt;"",$D31&lt;&gt;""),$A31=1,$AI$2="ДА"),(IF($A31=1,IF(OR(AND($E31=1,'Ответы учащихся'!L31=3),AND($E31=2,'Ответы учащихся'!L31=1),AND($E31=3,'Ответы учащихся'!L31=4),AND($E31=4,'Ответы учащихся'!L31=2)),1,IF('Ответы учащихся'!L31="N",'Ответы учащихся'!L31,0)),"")),"")</f>
        <v>1</v>
      </c>
      <c r="N31" s="102">
        <f>IF(AND(OR($C31&lt;&gt;"",$D31&lt;&gt;""),$A31=1,$AI$2="ДА"),'Ответы учащихся'!M31,"")</f>
        <v>0</v>
      </c>
      <c r="O31" s="102">
        <f>IF(AND(OR($C31&lt;&gt;"",$D31&lt;&gt;""),$A31=1,$AI$2="ДА"),(IF($A31=1,IF(OR(AND($E31=1,'Ответы учащихся'!N31=3),AND($E31=2,'Ответы учащихся'!N31=2),AND($E31=3,'Ответы учащихся'!N31=4),AND($E31=4,'Ответы учащихся'!N31=1)),1,IF('Ответы учащихся'!N31="N",'Ответы учащихся'!N31,0)),"")),"")</f>
        <v>1</v>
      </c>
      <c r="P31" s="102">
        <f>IF(AND(OR($C31&lt;&gt;"",$D31&lt;&gt;""),$A31=1,$AI$2="ДА"),(IF($A31=1,IF(OR(AND($E31=1,'Ответы учащихся'!O31="БВ"),AND($E31=2,'Ответы учащихся'!O31="АВГ"),AND($E31=3,'Ответы учащихся'!O31="БВГ"),AND($E31=4,'Ответы учащихся'!O31="АВ")),1,IF('Ответы учащихся'!O31="N",'Ответы учащихся'!O31,0)),"")),"")</f>
        <v>1</v>
      </c>
      <c r="Q31" s="102">
        <f>IF(AND(OR($C31&lt;&gt;"",$D31&lt;&gt;""),$A31=1,$AI$2="ДА"),(IF($A31=1,IF(OR(AND($E31=1,'Ответы учащихся'!P31=2351),AND($E31=2,'Ответы учащихся'!P31=4132),AND($E31=3,'Ответы учащихся'!P31=3412),AND($E31=4,'Ответы учащихся'!P31=3125)),1,IF('Ответы учащихся'!P31="N",'Ответы учащихся'!P31,0)),"")),"")</f>
        <v>0</v>
      </c>
      <c r="R31" s="102">
        <f>IF(AND(OR($C31&lt;&gt;"",$D31&lt;&gt;""),$A31=1,$AI$2="ДА"),(IF($A31=1,IF(OR(AND($E31=1,'Ответы учащихся'!Q31=2),AND($E31=2,'Ответы учащихся'!Q31=9),AND($E31=3,'Ответы учащихся'!Q31=5),AND($E31=4,'Ответы учащихся'!Q31=2)),1,IF('Ответы учащихся'!Q31="N",'Ответы учащихся'!Q31,0)),"")),"")</f>
        <v>0</v>
      </c>
      <c r="S31" s="102" t="str">
        <f>IF(AND(OR($C31&lt;&gt;"",$D31&lt;&gt;""),$A31=1,$AI$2="ДА"),(IF($A31=1,IF(OR(AND($E31=1,'Ответы учащихся'!R31=35),AND($E31=2,'Ответы учащихся'!R31=74),AND($E31=3,'Ответы учащихся'!R31=72),AND($E31=4,'Ответы учащихся'!R31=66)),1,IF('Ответы учащихся'!R31="N",'Ответы учащихся'!R31,0)),"")),"")</f>
        <v>N</v>
      </c>
      <c r="T31" s="102">
        <f>IF(AND(OR($C31&lt;&gt;"",$D31&lt;&gt;""),$A31=1,$AI$2="ДА"),(IF($A31=1,IF(OR(AND($E31=1,'Ответы учащихся'!S31=60),AND($E31=2,'Ответы учащихся'!S31=40),AND($E31=3,'Ответы учащихся'!S31=30),AND($E31=4,'Ответы учащихся'!S31=18)),1,IF('Ответы учащихся'!S31="N",'Ответы учащихся'!S31,0)),"")),"")</f>
        <v>0</v>
      </c>
      <c r="U31" s="102">
        <f>IF(AND(OR($C31&lt;&gt;"",$D31&lt;&gt;""),$A31=1,$AI$2="ДА"),(IF($A31=1,IF(OR(AND($E31=1,'Ответы учащихся'!T31=3),AND($E31=2,'Ответы учащихся'!T31=4),AND($E31=3,'Ответы учащихся'!T31=2),AND($E31=4,'Ответы учащихся'!T31=3)),1,IF('Ответы учащихся'!T31="N",'Ответы учащихся'!T31,0)),"")),"")</f>
        <v>1</v>
      </c>
      <c r="V31" s="102">
        <f>IF(AND(OR($C31&lt;&gt;"",$D31&lt;&gt;""),$A31=1,$AI$2="ДА"),(IF($A31=1,IF(OR(AND($E31=1,'Ответы учащихся'!U31=11),AND($E31=2,'Ответы учащихся'!U31=14),AND($E31=3,'Ответы учащихся'!U31=-2),AND($E31=4,'Ответы учащихся'!U31=25)),1,IF('Ответы учащихся'!U31="N",'Ответы учащихся'!U31,0)),"")),"")</f>
        <v>1</v>
      </c>
      <c r="W31" s="102">
        <f>IF(AND(OR($C31&lt;&gt;"",$D31&lt;&gt;""),$A31=1,$AI$2="ДА"),(IF($A31=1,IF(OR(AND($E31=1,'Ответы учащихся'!V31=3000),AND($E31=2,'Ответы учащихся'!V31=2500),AND($E31=3,'Ответы учащихся'!V31=1500),AND($E31=4,'Ответы учащихся'!V31=1500)),1,IF('Ответы учащихся'!V31="N",'Ответы учащихся'!V31,0)),"")),"")</f>
        <v>1</v>
      </c>
      <c r="X31" s="102"/>
      <c r="Y31" s="102">
        <f>IF(AND(OR($C31&lt;&gt;"",$D31&lt;&gt;""),$A31=1,$AI$2="ДА"),(IF($A31=1,IF(AND('Ответы учащихся'!$W31&lt;&gt;"N",'Ответы учащихся'!$X31&lt;&gt;"N",'Ответы учащихся'!$Y31&lt;&gt;"N",'Ответы учащихся'!$Z31&lt;&gt;"N",'Ответы учащихся'!$AA31&lt;&gt;"N"),(SUM('Ответы учащихся'!$W31:$AA31)),"N"),"")),"")</f>
        <v>0.8</v>
      </c>
      <c r="Z31" s="102"/>
      <c r="AA31" s="102">
        <f>IF(AND(OR($C31&lt;&gt;"",$D31&lt;&gt;""),$A31=1,$AI$2="ДА"),(IF($A31=1,IF(AND('Ответы учащихся'!$AB31&lt;&gt;"N",'Ответы учащихся'!$AC31&lt;&gt;"N",'Ответы учащихся'!$AD31&lt;&gt;"N",'Ответы учащихся'!$AE31&lt;&gt;"N"),(SUM('Ответы учащихся'!$AB31:$AE31)),"N"),"")),"")</f>
        <v>2</v>
      </c>
      <c r="AB31" s="289">
        <f>IF(AND(OR($C31&lt;&gt;"",$D31&lt;&gt;""),$A31=1,$AI$2="ДА"),(IF($A31=1,IF(AND('Ответы учащихся'!$AF31&lt;&gt;"N",'Ответы учащихся'!$AG31&lt;&gt;"N",'Ответы учащихся'!$AH31&lt;&gt;"N",'Ответы учащихся'!$AI31&lt;&gt;"N"),(SUM('Ответы учащихся'!$AF31:$AI31)),"N"),"")),"")</f>
        <v>2</v>
      </c>
      <c r="AC31" s="468">
        <f t="shared" si="6"/>
        <v>16.8</v>
      </c>
      <c r="AD31" s="326">
        <f t="shared" si="7"/>
        <v>0.70000000000000007</v>
      </c>
      <c r="AE31" s="327">
        <f t="shared" si="8"/>
        <v>12</v>
      </c>
      <c r="AF31" s="328">
        <f t="shared" si="9"/>
        <v>66.666666666666657</v>
      </c>
      <c r="AG31" s="327">
        <f t="shared" si="10"/>
        <v>4.8</v>
      </c>
      <c r="AH31" s="329">
        <f t="shared" si="11"/>
        <v>80</v>
      </c>
      <c r="AI31" s="456" t="str">
        <f t="shared" si="12"/>
        <v>БАЗОВЫЙ</v>
      </c>
      <c r="AJ31" s="446">
        <f t="shared" si="13"/>
        <v>16.614705882352936</v>
      </c>
      <c r="AK31" s="447">
        <f t="shared" si="14"/>
        <v>0.69227941176470575</v>
      </c>
      <c r="AL31" s="445">
        <v>9</v>
      </c>
      <c r="AM31" s="446">
        <f t="shared" si="15"/>
        <v>77.287581699346404</v>
      </c>
      <c r="AN31" s="442">
        <f>IF($A31=1,IF(OR(AND($E31=1,'Ответы учащихся'!W31=0.4),AND($E31=2,'Ответы учащихся'!W31=0.4),AND($E31=3,'Ответы учащихся'!W31=0.4),AND($E31=4,'Ответы учащихся'!W31=0.4)),1,IF('Ответы учащихся'!W31="N",'Ответы учащихся'!W31,0)),"")</f>
        <v>1</v>
      </c>
      <c r="AO31" s="434">
        <f>IF($A31=1,IF(OR(AND($E31=1,'Ответы учащихся'!X31=0.4),AND($E31=2,'Ответы учащихся'!X31=0.4),AND($E31=3,'Ответы учащихся'!X31=0.4),AND($E31=4,'Ответы учащихся'!X31=0.4)),1,IF('Ответы учащихся'!X31="N",'Ответы учащихся'!X31,0)),"")</f>
        <v>1</v>
      </c>
      <c r="AP31" s="434">
        <f>IF($A31=1,IF(OR(AND($E31=1,'Ответы учащихся'!Y31=0.4),AND($E31=2,'Ответы учащихся'!Y31=0.4),AND($E31=3,'Ответы учащихся'!Y31=0.4),AND($E31=4,'Ответы учащихся'!Y31=0.4)),1,IF('Ответы учащихся'!Y31="N",'Ответы учащихся'!Y31,0)),"")</f>
        <v>0</v>
      </c>
      <c r="AQ31" s="434">
        <f>IF($A31=1,IF(OR(AND($E31=1,'Ответы учащихся'!Z31=0.4),AND($E31=2,'Ответы учащихся'!Z31=0.4),AND($E31=3,'Ответы учащихся'!Z31=0.4),AND($E31=4,'Ответы учащихся'!Z31=0.4)),1,IF('Ответы учащихся'!Z31="N",'Ответы учащихся'!Z31,0)),"")</f>
        <v>0</v>
      </c>
      <c r="AR31" s="434">
        <f>IF($A31=1,IF(OR(AND($E31=1,'Ответы учащихся'!AA31=0.4),AND($E31=2,'Ответы учащихся'!AA31=0.4),AND($E31=3,'Ответы учащихся'!AA31=0.4),AND($E31=4,'Ответы учащихся'!AA31=0.4)),1,IF('Ответы учащихся'!AA31="N",'Ответы учащихся'!AA31,0)),"")</f>
        <v>0</v>
      </c>
      <c r="AS31" s="435">
        <f>IF($A31=1,IF(OR(AND($E31=1,'Ответы учащихся'!AB31=0.5),AND($E31=2,'Ответы учащихся'!AB31=0.5),AND($E31=3,'Ответы учащихся'!AB31=0.5),AND($E31=4,'Ответы учащихся'!AB31=0.5)),1,IF('Ответы учащихся'!AB31="N",'Ответы учащихся'!AB31,0)),"")</f>
        <v>1</v>
      </c>
      <c r="AT31" s="435">
        <f>IF($A31=1,IF(OR(AND($E31=1,'Ответы учащихся'!AC31=0.5),AND($E31=2,'Ответы учащихся'!AC31=0.5),AND($E31=3,'Ответы учащихся'!AC31=0.5),AND($E31=4,'Ответы учащихся'!AC31=0.5)),1,IF('Ответы учащихся'!AC31="N",'Ответы учащихся'!AC31,0)),"")</f>
        <v>1</v>
      </c>
      <c r="AU31" s="435">
        <f>IF($A31=1,IF(OR(AND($E31=1,'Ответы учащихся'!AD31=0.5),AND($E31=2,'Ответы учащихся'!AD31=0.5),AND($E31=3,'Ответы учащихся'!AD31=0.5),AND($E31=4,'Ответы учащихся'!AD31=0.5)),1,IF('Ответы учащихся'!AD31="N",'Ответы учащихся'!AD31,0)),"")</f>
        <v>1</v>
      </c>
      <c r="AV31" s="435">
        <f>IF($A31=1,IF(OR(AND($E31=1,'Ответы учащихся'!AE31=0.5),AND($E31=2,'Ответы учащихся'!AE31=0.5),AND($E31=3,'Ответы учащихся'!AE31=0.5),AND($E31=4,'Ответы учащихся'!AE31=0.5)),1,IF('Ответы учащихся'!AE31="N",'Ответы учащихся'!AE31,0)),"")</f>
        <v>1</v>
      </c>
      <c r="AW31" s="436">
        <f>IF($A31=1,IF(OR(AND($E31=1,'Ответы учащихся'!AF31=0.5),AND($E31=2,'Ответы учащихся'!AF31=0.5),AND($E31=3,'Ответы учащихся'!AF31=0.5),AND($E31=4,'Ответы учащихся'!AF31=0.5)),1,IF('Ответы учащихся'!AF31="N",'Ответы учащихся'!AF31,0)),"")</f>
        <v>1</v>
      </c>
      <c r="AX31" s="436">
        <f>IF($A31=1,IF(OR(AND($E31=1,'Ответы учащихся'!AG31=0.5),AND($E31=2,'Ответы учащихся'!AG31=0.5),AND($E31=3,'Ответы учащихся'!AG31=0.5),AND($E31=4,'Ответы учащихся'!AG31=0.5)),1,IF('Ответы учащихся'!AG31="N",'Ответы учащихся'!AG31,0)),"")</f>
        <v>1</v>
      </c>
      <c r="AY31" s="436">
        <f>IF($A31=1,IF(OR(AND($E31=1,'Ответы учащихся'!AH31=0.5),AND($E31=2,'Ответы учащихся'!AH31=0.5),AND($E31=3,'Ответы учащихся'!AH31=0.5),AND($E31=4,'Ответы учащихся'!AH31=0.5)),1,IF('Ответы учащихся'!AH31="N",'Ответы учащихся'!AH31,0)),"")</f>
        <v>1</v>
      </c>
      <c r="AZ31" s="436">
        <f>IF($A31=1,IF(OR(AND($E31=1,'Ответы учащихся'!AI31=0.5),AND($E31=2,'Ответы учащихся'!AI31=0.5),AND($E31=3,'Ответы учащихся'!AI31=0.5),AND($E31=4,'Ответы учащихся'!AI31=0.5)),1,IF('Ответы учащихся'!AI31="N",'Ответы учащихся'!AI31,0)),"")</f>
        <v>1</v>
      </c>
      <c r="BA31" s="429"/>
      <c r="BB31" s="429"/>
      <c r="BC31" s="429"/>
      <c r="BD31" s="429"/>
      <c r="BE31" s="419"/>
      <c r="BF31" s="419"/>
      <c r="BG31" s="6"/>
      <c r="BH31" s="6"/>
      <c r="BI31" s="6"/>
      <c r="BJ31" s="6"/>
    </row>
    <row r="32" spans="1:62" ht="12.75" customHeight="1" x14ac:dyDescent="0.2">
      <c r="A32" s="12">
        <f>IF('СПИСОК КЛАССА'!J32&gt;0,1,0)</f>
        <v>1</v>
      </c>
      <c r="B32" s="100">
        <v>13</v>
      </c>
      <c r="C32" s="101">
        <f>IF(NOT(ISBLANK('СПИСОК КЛАССА'!C32)),'СПИСОК КЛАССА'!C32,"")</f>
        <v>13</v>
      </c>
      <c r="D32" s="134" t="str">
        <f>IF(NOT(ISBLANK('СПИСОК КЛАССА'!D32)),IF($A32=1,'СПИСОК КЛАССА'!D32, "УЧЕНИК НЕ ВЫПОЛНЯЛ РАБОТУ"),"")</f>
        <v/>
      </c>
      <c r="E32" s="459">
        <f>IF($C32&lt;&gt;"",'СПИСОК КЛАССА'!J32,"")</f>
        <v>2</v>
      </c>
      <c r="F32" s="133">
        <f>IF(AND(OR($C32&lt;&gt;"",$D32&lt;&gt;""),$A32=1,$AI$2="ДА"),'Ответы учащихся'!E32,"")</f>
        <v>1</v>
      </c>
      <c r="G32" s="102">
        <f>IF(AND(OR($C32&lt;&gt;"",$D32&lt;&gt;""),$A32=1,$AI$2="ДА"),(IF($A32=1,IF(OR(AND($E32=1,'Ответы учащихся'!F32=2),AND($E32=2,'Ответы учащихся'!F32=4),AND($E32=3,OR('Ответы учащихся'!F32=3,'Ответы учащихся'!F32=4)),AND($E32=4,'Ответы учащихся'!F32=1)),1,IF('Ответы учащихся'!F32="N",'Ответы учащихся'!F32,0)),"")),"")</f>
        <v>1</v>
      </c>
      <c r="H32" s="102">
        <f>IF(AND(OR($C32&lt;&gt;"",$D32&lt;&gt;""),$A32=1,$AI$2="ДА"),(IF($A32=1,IF(OR(AND($E32=1,'Ответы учащихся'!G32=1),AND($E32=2,'Ответы учащихся'!G32=3),AND($E32=3,'Ответы учащихся'!G32=3),AND($E32=4,'Ответы учащихся'!G32=3)),1,IF('Ответы учащихся'!G32="N",'Ответы учащихся'!G32,0)),"")),"")</f>
        <v>1</v>
      </c>
      <c r="I32" s="102">
        <f>IF(AND(OR($C32&lt;&gt;"",$D32&lt;&gt;""),$A32=1,$AI$2="ДА"),(IF($A32=1,IF(OR(AND($E32=1,'Ответы учащихся'!H32=-6),AND($E32=2,'Ответы учащихся'!H32=3),AND($E32=3,'Ответы учащихся'!H32=-8),AND($E32=4,'Ответы учащихся'!H32=-6)),1,IF('Ответы учащихся'!H32="N",'Ответы учащихся'!H32,0)),"")),"")</f>
        <v>1</v>
      </c>
      <c r="J32" s="102">
        <f>IF(AND(OR($C32&lt;&gt;"",$D32&lt;&gt;""),$A32=1,$AI$2="ДА"),(IF($A32=1,IF(OR(AND($E32=1,'Ответы учащихся'!I32=3412),AND($E32=2,'Ответы учащихся'!I32=2314),AND($E32=3,'Ответы учащихся'!I32=3142),AND($E32=4,'Ответы учащихся'!I32=1234)),1,IF('Ответы учащихся'!I32="N",'Ответы учащихся'!I32,0)),"")),"")</f>
        <v>1</v>
      </c>
      <c r="K32" s="102">
        <f>IF(AND(OR($C32&lt;&gt;"",$D32&lt;&gt;""),$A32=1,$AI$2="ДА"),(IF($A32=1,IF(OR(AND($E32=1,'Ответы учащихся'!J32=390),AND($E32=2,'Ответы учащихся'!J32=273),AND($E32=3,'Ответы учащихся'!J32=205),AND($E32=4,'Ответы учащихся'!J32=240)),1,IF('Ответы учащихся'!J32="N",'Ответы учащихся'!J32,0)),"")),"")</f>
        <v>1</v>
      </c>
      <c r="L32" s="102">
        <f>IF(AND(OR($C32&lt;&gt;"",$D32&lt;&gt;""),$A32=1,$AI$2="ДА"),(IF($A32=1,IF(OR(AND($E32=1,'Ответы учащихся'!K32=1),AND($E32=2,'Ответы учащихся'!K32=2),AND($E32=3,'Ответы учащихся'!K32=4),AND($E32=4,'Ответы учащихся'!K32=3)),1,IF('Ответы учащихся'!K32="N",'Ответы учащихся'!K32,0)),"")),"")</f>
        <v>1</v>
      </c>
      <c r="M32" s="102">
        <f>IF(AND(OR($C32&lt;&gt;"",$D32&lt;&gt;""),$A32=1,$AI$2="ДА"),(IF($A32=1,IF(OR(AND($E32=1,'Ответы учащихся'!L32=3),AND($E32=2,'Ответы учащихся'!L32=1),AND($E32=3,'Ответы учащихся'!L32=4),AND($E32=4,'Ответы учащихся'!L32=2)),1,IF('Ответы учащихся'!L32="N",'Ответы учащихся'!L32,0)),"")),"")</f>
        <v>1</v>
      </c>
      <c r="N32" s="102">
        <f>IF(AND(OR($C32&lt;&gt;"",$D32&lt;&gt;""),$A32=1,$AI$2="ДА"),'Ответы учащихся'!M32,"")</f>
        <v>1</v>
      </c>
      <c r="O32" s="102">
        <f>IF(AND(OR($C32&lt;&gt;"",$D32&lt;&gt;""),$A32=1,$AI$2="ДА"),(IF($A32=1,IF(OR(AND($E32=1,'Ответы учащихся'!N32=3),AND($E32=2,'Ответы учащихся'!N32=2),AND($E32=3,'Ответы учащихся'!N32=4),AND($E32=4,'Ответы учащихся'!N32=1)),1,IF('Ответы учащихся'!N32="N",'Ответы учащихся'!N32,0)),"")),"")</f>
        <v>1</v>
      </c>
      <c r="P32" s="102" t="str">
        <f>IF(AND(OR($C32&lt;&gt;"",$D32&lt;&gt;""),$A32=1,$AI$2="ДА"),(IF($A32=1,IF(OR(AND($E32=1,'Ответы учащихся'!O32="БВ"),AND($E32=2,'Ответы учащихся'!O32="АВГ"),AND($E32=3,'Ответы учащихся'!O32="БВГ"),AND($E32=4,'Ответы учащихся'!O32="АВ")),1,IF('Ответы учащихся'!O32="N",'Ответы учащихся'!O32,0)),"")),"")</f>
        <v>N</v>
      </c>
      <c r="Q32" s="102">
        <f>IF(AND(OR($C32&lt;&gt;"",$D32&lt;&gt;""),$A32=1,$AI$2="ДА"),(IF($A32=1,IF(OR(AND($E32=1,'Ответы учащихся'!P32=2351),AND($E32=2,'Ответы учащихся'!P32=4132),AND($E32=3,'Ответы учащихся'!P32=3412),AND($E32=4,'Ответы учащихся'!P32=3125)),1,IF('Ответы учащихся'!P32="N",'Ответы учащихся'!P32,0)),"")),"")</f>
        <v>0</v>
      </c>
      <c r="R32" s="102" t="str">
        <f>IF(AND(OR($C32&lt;&gt;"",$D32&lt;&gt;""),$A32=1,$AI$2="ДА"),(IF($A32=1,IF(OR(AND($E32=1,'Ответы учащихся'!Q32=2),AND($E32=2,'Ответы учащихся'!Q32=9),AND($E32=3,'Ответы учащихся'!Q32=5),AND($E32=4,'Ответы учащихся'!Q32=2)),1,IF('Ответы учащихся'!Q32="N",'Ответы учащихся'!Q32,0)),"")),"")</f>
        <v>N</v>
      </c>
      <c r="S32" s="102">
        <f>IF(AND(OR($C32&lt;&gt;"",$D32&lt;&gt;""),$A32=1,$AI$2="ДА"),(IF($A32=1,IF(OR(AND($E32=1,'Ответы учащихся'!R32=35),AND($E32=2,'Ответы учащихся'!R32=74),AND($E32=3,'Ответы учащихся'!R32=72),AND($E32=4,'Ответы учащихся'!R32=66)),1,IF('Ответы учащихся'!R32="N",'Ответы учащихся'!R32,0)),"")),"")</f>
        <v>0</v>
      </c>
      <c r="T32" s="102">
        <f>IF(AND(OR($C32&lt;&gt;"",$D32&lt;&gt;""),$A32=1,$AI$2="ДА"),(IF($A32=1,IF(OR(AND($E32=1,'Ответы учащихся'!S32=60),AND($E32=2,'Ответы учащихся'!S32=40),AND($E32=3,'Ответы учащихся'!S32=30),AND($E32=4,'Ответы учащихся'!S32=18)),1,IF('Ответы учащихся'!S32="N",'Ответы учащихся'!S32,0)),"")),"")</f>
        <v>0</v>
      </c>
      <c r="U32" s="102">
        <f>IF(AND(OR($C32&lt;&gt;"",$D32&lt;&gt;""),$A32=1,$AI$2="ДА"),(IF($A32=1,IF(OR(AND($E32=1,'Ответы учащихся'!T32=3),AND($E32=2,'Ответы учащихся'!T32=4),AND($E32=3,'Ответы учащихся'!T32=2),AND($E32=4,'Ответы учащихся'!T32=3)),1,IF('Ответы учащихся'!T32="N",'Ответы учащихся'!T32,0)),"")),"")</f>
        <v>0</v>
      </c>
      <c r="V32" s="102">
        <f>IF(AND(OR($C32&lt;&gt;"",$D32&lt;&gt;""),$A32=1,$AI$2="ДА"),(IF($A32=1,IF(OR(AND($E32=1,'Ответы учащихся'!U32=11),AND($E32=2,'Ответы учащихся'!U32=14),AND($E32=3,'Ответы учащихся'!U32=-2),AND($E32=4,'Ответы учащихся'!U32=25)),1,IF('Ответы учащихся'!U32="N",'Ответы учащихся'!U32,0)),"")),"")</f>
        <v>1</v>
      </c>
      <c r="W32" s="102">
        <f>IF(AND(OR($C32&lt;&gt;"",$D32&lt;&gt;""),$A32=1,$AI$2="ДА"),(IF($A32=1,IF(OR(AND($E32=1,'Ответы учащихся'!V32=3000),AND($E32=2,'Ответы учащихся'!V32=2500),AND($E32=3,'Ответы учащихся'!V32=1500),AND($E32=4,'Ответы учащихся'!V32=1500)),1,IF('Ответы учащихся'!V32="N",'Ответы учащихся'!V32,0)),"")),"")</f>
        <v>1</v>
      </c>
      <c r="X32" s="102"/>
      <c r="Y32" s="102" t="str">
        <f>IF(AND(OR($C32&lt;&gt;"",$D32&lt;&gt;""),$A32=1,$AI$2="ДА"),(IF($A32=1,IF(AND('Ответы учащихся'!$W32&lt;&gt;"N",'Ответы учащихся'!$X32&lt;&gt;"N",'Ответы учащихся'!$Y32&lt;&gt;"N",'Ответы учащихся'!$Z32&lt;&gt;"N",'Ответы учащихся'!$AA32&lt;&gt;"N"),(SUM('Ответы учащихся'!$W32:$AA32)),"N"),"")),"")</f>
        <v>N</v>
      </c>
      <c r="Z32" s="102"/>
      <c r="AA32" s="102" t="str">
        <f>IF(AND(OR($C32&lt;&gt;"",$D32&lt;&gt;""),$A32=1,$AI$2="ДА"),(IF($A32=1,IF(AND('Ответы учащихся'!$AB32&lt;&gt;"N",'Ответы учащихся'!$AC32&lt;&gt;"N",'Ответы учащихся'!$AD32&lt;&gt;"N",'Ответы учащихся'!$AE32&lt;&gt;"N"),(SUM('Ответы учащихся'!$AB32:$AE32)),"N"),"")),"")</f>
        <v>N</v>
      </c>
      <c r="AB32" s="289" t="str">
        <f>IF(AND(OR($C32&lt;&gt;"",$D32&lt;&gt;""),$A32=1,$AI$2="ДА"),(IF($A32=1,IF(AND('Ответы учащихся'!$AF32&lt;&gt;"N",'Ответы учащихся'!$AG32&lt;&gt;"N",'Ответы учащихся'!$AH32&lt;&gt;"N",'Ответы учащихся'!$AI32&lt;&gt;"N"),(SUM('Ответы учащихся'!$AF32:$AI32)),"N"),"")),"")</f>
        <v>N</v>
      </c>
      <c r="AC32" s="468">
        <f t="shared" si="6"/>
        <v>12</v>
      </c>
      <c r="AD32" s="326">
        <f t="shared" si="7"/>
        <v>0.5</v>
      </c>
      <c r="AE32" s="327">
        <f t="shared" si="8"/>
        <v>12</v>
      </c>
      <c r="AF32" s="328">
        <f t="shared" si="9"/>
        <v>66.666666666666657</v>
      </c>
      <c r="AG32" s="327">
        <f t="shared" si="10"/>
        <v>0</v>
      </c>
      <c r="AH32" s="329">
        <f t="shared" si="11"/>
        <v>0</v>
      </c>
      <c r="AI32" s="456" t="str">
        <f t="shared" si="12"/>
        <v>БАЗОВЫЙ</v>
      </c>
      <c r="AJ32" s="446">
        <f t="shared" si="13"/>
        <v>16.614705882352936</v>
      </c>
      <c r="AK32" s="447">
        <f t="shared" si="14"/>
        <v>0.69227941176470575</v>
      </c>
      <c r="AL32" s="445">
        <v>9</v>
      </c>
      <c r="AM32" s="446">
        <f t="shared" si="15"/>
        <v>77.287581699346404</v>
      </c>
      <c r="AN32" s="442" t="str">
        <f>IF($A32=1,IF(OR(AND($E32=1,'Ответы учащихся'!W32=0.4),AND($E32=2,'Ответы учащихся'!W32=0.4),AND($E32=3,'Ответы учащихся'!W32=0.4),AND($E32=4,'Ответы учащихся'!W32=0.4)),1,IF('Ответы учащихся'!W32="N",'Ответы учащихся'!W32,0)),"")</f>
        <v>N</v>
      </c>
      <c r="AO32" s="434" t="str">
        <f>IF($A32=1,IF(OR(AND($E32=1,'Ответы учащихся'!X32=0.4),AND($E32=2,'Ответы учащихся'!X32=0.4),AND($E32=3,'Ответы учащихся'!X32=0.4),AND($E32=4,'Ответы учащихся'!X32=0.4)),1,IF('Ответы учащихся'!X32="N",'Ответы учащихся'!X32,0)),"")</f>
        <v>N</v>
      </c>
      <c r="AP32" s="434" t="str">
        <f>IF($A32=1,IF(OR(AND($E32=1,'Ответы учащихся'!Y32=0.4),AND($E32=2,'Ответы учащихся'!Y32=0.4),AND($E32=3,'Ответы учащихся'!Y32=0.4),AND($E32=4,'Ответы учащихся'!Y32=0.4)),1,IF('Ответы учащихся'!Y32="N",'Ответы учащихся'!Y32,0)),"")</f>
        <v>N</v>
      </c>
      <c r="AQ32" s="434" t="str">
        <f>IF($A32=1,IF(OR(AND($E32=1,'Ответы учащихся'!Z32=0.4),AND($E32=2,'Ответы учащихся'!Z32=0.4),AND($E32=3,'Ответы учащихся'!Z32=0.4),AND($E32=4,'Ответы учащихся'!Z32=0.4)),1,IF('Ответы учащихся'!Z32="N",'Ответы учащихся'!Z32,0)),"")</f>
        <v>N</v>
      </c>
      <c r="AR32" s="434" t="str">
        <f>IF($A32=1,IF(OR(AND($E32=1,'Ответы учащихся'!AA32=0.4),AND($E32=2,'Ответы учащихся'!AA32=0.4),AND($E32=3,'Ответы учащихся'!AA32=0.4),AND($E32=4,'Ответы учащихся'!AA32=0.4)),1,IF('Ответы учащихся'!AA32="N",'Ответы учащихся'!AA32,0)),"")</f>
        <v>N</v>
      </c>
      <c r="AS32" s="435" t="str">
        <f>IF($A32=1,IF(OR(AND($E32=1,'Ответы учащихся'!AB32=0.5),AND($E32=2,'Ответы учащихся'!AB32=0.5),AND($E32=3,'Ответы учащихся'!AB32=0.5),AND($E32=4,'Ответы учащихся'!AB32=0.5)),1,IF('Ответы учащихся'!AB32="N",'Ответы учащихся'!AB32,0)),"")</f>
        <v>N</v>
      </c>
      <c r="AT32" s="435" t="str">
        <f>IF($A32=1,IF(OR(AND($E32=1,'Ответы учащихся'!AC32=0.5),AND($E32=2,'Ответы учащихся'!AC32=0.5),AND($E32=3,'Ответы учащихся'!AC32=0.5),AND($E32=4,'Ответы учащихся'!AC32=0.5)),1,IF('Ответы учащихся'!AC32="N",'Ответы учащихся'!AC32,0)),"")</f>
        <v>N</v>
      </c>
      <c r="AU32" s="435" t="str">
        <f>IF($A32=1,IF(OR(AND($E32=1,'Ответы учащихся'!AD32=0.5),AND($E32=2,'Ответы учащихся'!AD32=0.5),AND($E32=3,'Ответы учащихся'!AD32=0.5),AND($E32=4,'Ответы учащихся'!AD32=0.5)),1,IF('Ответы учащихся'!AD32="N",'Ответы учащихся'!AD32,0)),"")</f>
        <v>N</v>
      </c>
      <c r="AV32" s="435" t="str">
        <f>IF($A32=1,IF(OR(AND($E32=1,'Ответы учащихся'!AE32=0.5),AND($E32=2,'Ответы учащихся'!AE32=0.5),AND($E32=3,'Ответы учащихся'!AE32=0.5),AND($E32=4,'Ответы учащихся'!AE32=0.5)),1,IF('Ответы учащихся'!AE32="N",'Ответы учащихся'!AE32,0)),"")</f>
        <v>N</v>
      </c>
      <c r="AW32" s="436" t="str">
        <f>IF($A32=1,IF(OR(AND($E32=1,'Ответы учащихся'!AF32=0.5),AND($E32=2,'Ответы учащихся'!AF32=0.5),AND($E32=3,'Ответы учащихся'!AF32=0.5),AND($E32=4,'Ответы учащихся'!AF32=0.5)),1,IF('Ответы учащихся'!AF32="N",'Ответы учащихся'!AF32,0)),"")</f>
        <v>N</v>
      </c>
      <c r="AX32" s="436" t="str">
        <f>IF($A32=1,IF(OR(AND($E32=1,'Ответы учащихся'!AG32=0.5),AND($E32=2,'Ответы учащихся'!AG32=0.5),AND($E32=3,'Ответы учащихся'!AG32=0.5),AND($E32=4,'Ответы учащихся'!AG32=0.5)),1,IF('Ответы учащихся'!AG32="N",'Ответы учащихся'!AG32,0)),"")</f>
        <v>N</v>
      </c>
      <c r="AY32" s="436" t="str">
        <f>IF($A32=1,IF(OR(AND($E32=1,'Ответы учащихся'!AH32=0.5),AND($E32=2,'Ответы учащихся'!AH32=0.5),AND($E32=3,'Ответы учащихся'!AH32=0.5),AND($E32=4,'Ответы учащихся'!AH32=0.5)),1,IF('Ответы учащихся'!AH32="N",'Ответы учащихся'!AH32,0)),"")</f>
        <v>N</v>
      </c>
      <c r="AZ32" s="436" t="str">
        <f>IF($A32=1,IF(OR(AND($E32=1,'Ответы учащихся'!AI32=0.5),AND($E32=2,'Ответы учащихся'!AI32=0.5),AND($E32=3,'Ответы учащихся'!AI32=0.5),AND($E32=4,'Ответы учащихся'!AI32=0.5)),1,IF('Ответы учащихся'!AI32="N",'Ответы учащихся'!AI32,0)),"")</f>
        <v>N</v>
      </c>
      <c r="BA32" s="429"/>
      <c r="BB32" s="429"/>
      <c r="BC32" s="429"/>
      <c r="BD32" s="429"/>
      <c r="BE32" s="419"/>
      <c r="BF32" s="419"/>
      <c r="BG32" s="6"/>
      <c r="BH32" s="6"/>
      <c r="BI32" s="6"/>
      <c r="BJ32" s="6"/>
    </row>
    <row r="33" spans="1:62" ht="12.75" customHeight="1" x14ac:dyDescent="0.2">
      <c r="A33" s="12">
        <f>IF('СПИСОК КЛАССА'!J33&gt;0,1,0)</f>
        <v>1</v>
      </c>
      <c r="B33" s="100">
        <v>14</v>
      </c>
      <c r="C33" s="101">
        <f>IF(NOT(ISBLANK('СПИСОК КЛАССА'!C33)),'СПИСОК КЛАССА'!C33,"")</f>
        <v>14</v>
      </c>
      <c r="D33" s="134" t="str">
        <f>IF(NOT(ISBLANK('СПИСОК КЛАССА'!D33)),IF($A33=1,'СПИСОК КЛАССА'!D33, "УЧЕНИК НЕ ВЫПОЛНЯЛ РАБОТУ"),"")</f>
        <v/>
      </c>
      <c r="E33" s="459">
        <f>IF($C33&lt;&gt;"",'СПИСОК КЛАССА'!J33,"")</f>
        <v>4</v>
      </c>
      <c r="F33" s="133">
        <f>IF(AND(OR($C33&lt;&gt;"",$D33&lt;&gt;""),$A33=1,$AI$2="ДА"),'Ответы учащихся'!E33,"")</f>
        <v>1</v>
      </c>
      <c r="G33" s="102">
        <f>IF(AND(OR($C33&lt;&gt;"",$D33&lt;&gt;""),$A33=1,$AI$2="ДА"),(IF($A33=1,IF(OR(AND($E33=1,'Ответы учащихся'!F33=2),AND($E33=2,'Ответы учащихся'!F33=4),AND($E33=3,OR('Ответы учащихся'!F33=3,'Ответы учащихся'!F33=4)),AND($E33=4,'Ответы учащихся'!F33=1)),1,IF('Ответы учащихся'!F33="N",'Ответы учащихся'!F33,0)),"")),"")</f>
        <v>0</v>
      </c>
      <c r="H33" s="102">
        <f>IF(AND(OR($C33&lt;&gt;"",$D33&lt;&gt;""),$A33=1,$AI$2="ДА"),(IF($A33=1,IF(OR(AND($E33=1,'Ответы учащихся'!G33=1),AND($E33=2,'Ответы учащихся'!G33=3),AND($E33=3,'Ответы учащихся'!G33=3),AND($E33=4,'Ответы учащихся'!G33=3)),1,IF('Ответы учащихся'!G33="N",'Ответы учащихся'!G33,0)),"")),"")</f>
        <v>1</v>
      </c>
      <c r="I33" s="102">
        <f>IF(AND(OR($C33&lt;&gt;"",$D33&lt;&gt;""),$A33=1,$AI$2="ДА"),(IF($A33=1,IF(OR(AND($E33=1,'Ответы учащихся'!H33=-6),AND($E33=2,'Ответы учащихся'!H33=3),AND($E33=3,'Ответы учащихся'!H33=-8),AND($E33=4,'Ответы учащихся'!H33=-6)),1,IF('Ответы учащихся'!H33="N",'Ответы учащихся'!H33,0)),"")),"")</f>
        <v>1</v>
      </c>
      <c r="J33" s="102">
        <f>IF(AND(OR($C33&lt;&gt;"",$D33&lt;&gt;""),$A33=1,$AI$2="ДА"),(IF($A33=1,IF(OR(AND($E33=1,'Ответы учащихся'!I33=3412),AND($E33=2,'Ответы учащихся'!I33=2314),AND($E33=3,'Ответы учащихся'!I33=3142),AND($E33=4,'Ответы учащихся'!I33=1234)),1,IF('Ответы учащихся'!I33="N",'Ответы учащихся'!I33,0)),"")),"")</f>
        <v>1</v>
      </c>
      <c r="K33" s="102">
        <f>IF(AND(OR($C33&lt;&gt;"",$D33&lt;&gt;""),$A33=1,$AI$2="ДА"),(IF($A33=1,IF(OR(AND($E33=1,'Ответы учащихся'!J33=390),AND($E33=2,'Ответы учащихся'!J33=273),AND($E33=3,'Ответы учащихся'!J33=205),AND($E33=4,'Ответы учащихся'!J33=240)),1,IF('Ответы учащихся'!J33="N",'Ответы учащихся'!J33,0)),"")),"")</f>
        <v>1</v>
      </c>
      <c r="L33" s="102">
        <f>IF(AND(OR($C33&lt;&gt;"",$D33&lt;&gt;""),$A33=1,$AI$2="ДА"),(IF($A33=1,IF(OR(AND($E33=1,'Ответы учащихся'!K33=1),AND($E33=2,'Ответы учащихся'!K33=2),AND($E33=3,'Ответы учащихся'!K33=4),AND($E33=4,'Ответы учащихся'!K33=3)),1,IF('Ответы учащихся'!K33="N",'Ответы учащихся'!K33,0)),"")),"")</f>
        <v>1</v>
      </c>
      <c r="M33" s="102">
        <f>IF(AND(OR($C33&lt;&gt;"",$D33&lt;&gt;""),$A33=1,$AI$2="ДА"),(IF($A33=1,IF(OR(AND($E33=1,'Ответы учащихся'!L33=3),AND($E33=2,'Ответы учащихся'!L33=1),AND($E33=3,'Ответы учащихся'!L33=4),AND($E33=4,'Ответы учащихся'!L33=2)),1,IF('Ответы учащихся'!L33="N",'Ответы учащихся'!L33,0)),"")),"")</f>
        <v>1</v>
      </c>
      <c r="N33" s="102">
        <f>IF(AND(OR($C33&lt;&gt;"",$D33&lt;&gt;""),$A33=1,$AI$2="ДА"),'Ответы учащихся'!M33,"")</f>
        <v>0</v>
      </c>
      <c r="O33" s="102">
        <f>IF(AND(OR($C33&lt;&gt;"",$D33&lt;&gt;""),$A33=1,$AI$2="ДА"),(IF($A33=1,IF(OR(AND($E33=1,'Ответы учащихся'!N33=3),AND($E33=2,'Ответы учащихся'!N33=2),AND($E33=3,'Ответы учащихся'!N33=4),AND($E33=4,'Ответы учащихся'!N33=1)),1,IF('Ответы учащихся'!N33="N",'Ответы учащихся'!N33,0)),"")),"")</f>
        <v>0</v>
      </c>
      <c r="P33" s="102">
        <f>IF(AND(OR($C33&lt;&gt;"",$D33&lt;&gt;""),$A33=1,$AI$2="ДА"),(IF($A33=1,IF(OR(AND($E33=1,'Ответы учащихся'!O33="БВ"),AND($E33=2,'Ответы учащихся'!O33="АВГ"),AND($E33=3,'Ответы учащихся'!O33="БВГ"),AND($E33=4,'Ответы учащихся'!O33="АВ")),1,IF('Ответы учащихся'!O33="N",'Ответы учащихся'!O33,0)),"")),"")</f>
        <v>1</v>
      </c>
      <c r="Q33" s="102">
        <f>IF(AND(OR($C33&lt;&gt;"",$D33&lt;&gt;""),$A33=1,$AI$2="ДА"),(IF($A33=1,IF(OR(AND($E33=1,'Ответы учащихся'!P33=2351),AND($E33=2,'Ответы учащихся'!P33=4132),AND($E33=3,'Ответы учащихся'!P33=3412),AND($E33=4,'Ответы учащихся'!P33=3125)),1,IF('Ответы учащихся'!P33="N",'Ответы учащихся'!P33,0)),"")),"")</f>
        <v>1</v>
      </c>
      <c r="R33" s="102">
        <f>IF(AND(OR($C33&lt;&gt;"",$D33&lt;&gt;""),$A33=1,$AI$2="ДА"),(IF($A33=1,IF(OR(AND($E33=1,'Ответы учащихся'!Q33=2),AND($E33=2,'Ответы учащихся'!Q33=9),AND($E33=3,'Ответы учащихся'!Q33=5),AND($E33=4,'Ответы учащихся'!Q33=2)),1,IF('Ответы учащихся'!Q33="N",'Ответы учащихся'!Q33,0)),"")),"")</f>
        <v>1</v>
      </c>
      <c r="S33" s="102" t="str">
        <f>IF(AND(OR($C33&lt;&gt;"",$D33&lt;&gt;""),$A33=1,$AI$2="ДА"),(IF($A33=1,IF(OR(AND($E33=1,'Ответы учащихся'!R33=35),AND($E33=2,'Ответы учащихся'!R33=74),AND($E33=3,'Ответы учащихся'!R33=72),AND($E33=4,'Ответы учащихся'!R33=66)),1,IF('Ответы учащихся'!R33="N",'Ответы учащихся'!R33,0)),"")),"")</f>
        <v>N</v>
      </c>
      <c r="T33" s="102">
        <f>IF(AND(OR($C33&lt;&gt;"",$D33&lt;&gt;""),$A33=1,$AI$2="ДА"),(IF($A33=1,IF(OR(AND($E33=1,'Ответы учащихся'!S33=60),AND($E33=2,'Ответы учащихся'!S33=40),AND($E33=3,'Ответы учащихся'!S33=30),AND($E33=4,'Ответы учащихся'!S33=18)),1,IF('Ответы учащихся'!S33="N",'Ответы учащихся'!S33,0)),"")),"")</f>
        <v>0</v>
      </c>
      <c r="U33" s="102">
        <f>IF(AND(OR($C33&lt;&gt;"",$D33&lt;&gt;""),$A33=1,$AI$2="ДА"),(IF($A33=1,IF(OR(AND($E33=1,'Ответы учащихся'!T33=3),AND($E33=2,'Ответы учащихся'!T33=4),AND($E33=3,'Ответы учащихся'!T33=2),AND($E33=4,'Ответы учащихся'!T33=3)),1,IF('Ответы учащихся'!T33="N",'Ответы учащихся'!T33,0)),"")),"")</f>
        <v>0</v>
      </c>
      <c r="V33" s="102">
        <f>IF(AND(OR($C33&lt;&gt;"",$D33&lt;&gt;""),$A33=1,$AI$2="ДА"),(IF($A33=1,IF(OR(AND($E33=1,'Ответы учащихся'!U33=11),AND($E33=2,'Ответы учащихся'!U33=14),AND($E33=3,'Ответы учащихся'!U33=-2),AND($E33=4,'Ответы учащихся'!U33=25)),1,IF('Ответы учащихся'!U33="N",'Ответы учащихся'!U33,0)),"")),"")</f>
        <v>1</v>
      </c>
      <c r="W33" s="102">
        <f>IF(AND(OR($C33&lt;&gt;"",$D33&lt;&gt;""),$A33=1,$AI$2="ДА"),(IF($A33=1,IF(OR(AND($E33=1,'Ответы учащихся'!V33=3000),AND($E33=2,'Ответы учащихся'!V33=2500),AND($E33=3,'Ответы учащихся'!V33=1500),AND($E33=4,'Ответы учащихся'!V33=1500)),1,IF('Ответы учащихся'!V33="N",'Ответы учащихся'!V33,0)),"")),"")</f>
        <v>1</v>
      </c>
      <c r="X33" s="102"/>
      <c r="Y33" s="102" t="str">
        <f>IF(AND(OR($C33&lt;&gt;"",$D33&lt;&gt;""),$A33=1,$AI$2="ДА"),(IF($A33=1,IF(AND('Ответы учащихся'!$W33&lt;&gt;"N",'Ответы учащихся'!$X33&lt;&gt;"N",'Ответы учащихся'!$Y33&lt;&gt;"N",'Ответы учащихся'!$Z33&lt;&gt;"N",'Ответы учащихся'!$AA33&lt;&gt;"N"),(SUM('Ответы учащихся'!$W33:$AA33)),"N"),"")),"")</f>
        <v>N</v>
      </c>
      <c r="Z33" s="102"/>
      <c r="AA33" s="102" t="str">
        <f>IF(AND(OR($C33&lt;&gt;"",$D33&lt;&gt;""),$A33=1,$AI$2="ДА"),(IF($A33=1,IF(AND('Ответы учащихся'!$AB33&lt;&gt;"N",'Ответы учащихся'!$AC33&lt;&gt;"N",'Ответы учащихся'!$AD33&lt;&gt;"N",'Ответы учащихся'!$AE33&lt;&gt;"N"),(SUM('Ответы учащихся'!$AB33:$AE33)),"N"),"")),"")</f>
        <v>N</v>
      </c>
      <c r="AB33" s="289" t="str">
        <f>IF(AND(OR($C33&lt;&gt;"",$D33&lt;&gt;""),$A33=1,$AI$2="ДА"),(IF($A33=1,IF(AND('Ответы учащихся'!$AF33&lt;&gt;"N",'Ответы учащихся'!$AG33&lt;&gt;"N",'Ответы учащихся'!$AH33&lt;&gt;"N",'Ответы учащихся'!$AI33&lt;&gt;"N"),(SUM('Ответы учащихся'!$AF33:$AI33)),"N"),"")),"")</f>
        <v>N</v>
      </c>
      <c r="AC33" s="468">
        <f t="shared" si="6"/>
        <v>12</v>
      </c>
      <c r="AD33" s="326">
        <f t="shared" si="7"/>
        <v>0.5</v>
      </c>
      <c r="AE33" s="327">
        <f t="shared" si="8"/>
        <v>12</v>
      </c>
      <c r="AF33" s="328">
        <f t="shared" si="9"/>
        <v>66.666666666666657</v>
      </c>
      <c r="AG33" s="327">
        <f t="shared" si="10"/>
        <v>0</v>
      </c>
      <c r="AH33" s="329">
        <f t="shared" si="11"/>
        <v>0</v>
      </c>
      <c r="AI33" s="456" t="str">
        <f t="shared" si="12"/>
        <v>БАЗОВЫЙ</v>
      </c>
      <c r="AJ33" s="446">
        <f t="shared" si="13"/>
        <v>16.614705882352936</v>
      </c>
      <c r="AK33" s="447">
        <f t="shared" si="14"/>
        <v>0.69227941176470575</v>
      </c>
      <c r="AL33" s="445">
        <v>9</v>
      </c>
      <c r="AM33" s="446">
        <f t="shared" si="15"/>
        <v>77.287581699346404</v>
      </c>
      <c r="AN33" s="442" t="str">
        <f>IF($A33=1,IF(OR(AND($E33=1,'Ответы учащихся'!W33=0.4),AND($E33=2,'Ответы учащихся'!W33=0.4),AND($E33=3,'Ответы учащихся'!W33=0.4),AND($E33=4,'Ответы учащихся'!W33=0.4)),1,IF('Ответы учащихся'!W33="N",'Ответы учащихся'!W33,0)),"")</f>
        <v>N</v>
      </c>
      <c r="AO33" s="434" t="str">
        <f>IF($A33=1,IF(OR(AND($E33=1,'Ответы учащихся'!X33=0.4),AND($E33=2,'Ответы учащихся'!X33=0.4),AND($E33=3,'Ответы учащихся'!X33=0.4),AND($E33=4,'Ответы учащихся'!X33=0.4)),1,IF('Ответы учащихся'!X33="N",'Ответы учащихся'!X33,0)),"")</f>
        <v>N</v>
      </c>
      <c r="AP33" s="434" t="str">
        <f>IF($A33=1,IF(OR(AND($E33=1,'Ответы учащихся'!Y33=0.4),AND($E33=2,'Ответы учащихся'!Y33=0.4),AND($E33=3,'Ответы учащихся'!Y33=0.4),AND($E33=4,'Ответы учащихся'!Y33=0.4)),1,IF('Ответы учащихся'!Y33="N",'Ответы учащихся'!Y33,0)),"")</f>
        <v>N</v>
      </c>
      <c r="AQ33" s="434" t="str">
        <f>IF($A33=1,IF(OR(AND($E33=1,'Ответы учащихся'!Z33=0.4),AND($E33=2,'Ответы учащихся'!Z33=0.4),AND($E33=3,'Ответы учащихся'!Z33=0.4),AND($E33=4,'Ответы учащихся'!Z33=0.4)),1,IF('Ответы учащихся'!Z33="N",'Ответы учащихся'!Z33,0)),"")</f>
        <v>N</v>
      </c>
      <c r="AR33" s="434" t="str">
        <f>IF($A33=1,IF(OR(AND($E33=1,'Ответы учащихся'!AA33=0.4),AND($E33=2,'Ответы учащихся'!AA33=0.4),AND($E33=3,'Ответы учащихся'!AA33=0.4),AND($E33=4,'Ответы учащихся'!AA33=0.4)),1,IF('Ответы учащихся'!AA33="N",'Ответы учащихся'!AA33,0)),"")</f>
        <v>N</v>
      </c>
      <c r="AS33" s="435" t="str">
        <f>IF($A33=1,IF(OR(AND($E33=1,'Ответы учащихся'!AB33=0.5),AND($E33=2,'Ответы учащихся'!AB33=0.5),AND($E33=3,'Ответы учащихся'!AB33=0.5),AND($E33=4,'Ответы учащихся'!AB33=0.5)),1,IF('Ответы учащихся'!AB33="N",'Ответы учащихся'!AB33,0)),"")</f>
        <v>N</v>
      </c>
      <c r="AT33" s="435" t="str">
        <f>IF($A33=1,IF(OR(AND($E33=1,'Ответы учащихся'!AC33=0.5),AND($E33=2,'Ответы учащихся'!AC33=0.5),AND($E33=3,'Ответы учащихся'!AC33=0.5),AND($E33=4,'Ответы учащихся'!AC33=0.5)),1,IF('Ответы учащихся'!AC33="N",'Ответы учащихся'!AC33,0)),"")</f>
        <v>N</v>
      </c>
      <c r="AU33" s="435" t="str">
        <f>IF($A33=1,IF(OR(AND($E33=1,'Ответы учащихся'!AD33=0.5),AND($E33=2,'Ответы учащихся'!AD33=0.5),AND($E33=3,'Ответы учащихся'!AD33=0.5),AND($E33=4,'Ответы учащихся'!AD33=0.5)),1,IF('Ответы учащихся'!AD33="N",'Ответы учащихся'!AD33,0)),"")</f>
        <v>N</v>
      </c>
      <c r="AV33" s="435" t="str">
        <f>IF($A33=1,IF(OR(AND($E33=1,'Ответы учащихся'!AE33=0.5),AND($E33=2,'Ответы учащихся'!AE33=0.5),AND($E33=3,'Ответы учащихся'!AE33=0.5),AND($E33=4,'Ответы учащихся'!AE33=0.5)),1,IF('Ответы учащихся'!AE33="N",'Ответы учащихся'!AE33,0)),"")</f>
        <v>N</v>
      </c>
      <c r="AW33" s="436" t="str">
        <f>IF($A33=1,IF(OR(AND($E33=1,'Ответы учащихся'!AF33=0.5),AND($E33=2,'Ответы учащихся'!AF33=0.5),AND($E33=3,'Ответы учащихся'!AF33=0.5),AND($E33=4,'Ответы учащихся'!AF33=0.5)),1,IF('Ответы учащихся'!AF33="N",'Ответы учащихся'!AF33,0)),"")</f>
        <v>N</v>
      </c>
      <c r="AX33" s="436" t="str">
        <f>IF($A33=1,IF(OR(AND($E33=1,'Ответы учащихся'!AG33=0.5),AND($E33=2,'Ответы учащихся'!AG33=0.5),AND($E33=3,'Ответы учащихся'!AG33=0.5),AND($E33=4,'Ответы учащихся'!AG33=0.5)),1,IF('Ответы учащихся'!AG33="N",'Ответы учащихся'!AG33,0)),"")</f>
        <v>N</v>
      </c>
      <c r="AY33" s="436" t="str">
        <f>IF($A33=1,IF(OR(AND($E33=1,'Ответы учащихся'!AH33=0.5),AND($E33=2,'Ответы учащихся'!AH33=0.5),AND($E33=3,'Ответы учащихся'!AH33=0.5),AND($E33=4,'Ответы учащихся'!AH33=0.5)),1,IF('Ответы учащихся'!AH33="N",'Ответы учащихся'!AH33,0)),"")</f>
        <v>N</v>
      </c>
      <c r="AZ33" s="436" t="str">
        <f>IF($A33=1,IF(OR(AND($E33=1,'Ответы учащихся'!AI33=0.5),AND($E33=2,'Ответы учащихся'!AI33=0.5),AND($E33=3,'Ответы учащихся'!AI33=0.5),AND($E33=4,'Ответы учащихся'!AI33=0.5)),1,IF('Ответы учащихся'!AI33="N",'Ответы учащихся'!AI33,0)),"")</f>
        <v>N</v>
      </c>
      <c r="BA33" s="429"/>
      <c r="BB33" s="429"/>
      <c r="BC33" s="429"/>
      <c r="BD33" s="429"/>
      <c r="BE33" s="419"/>
      <c r="BF33" s="419"/>
      <c r="BG33" s="6"/>
      <c r="BH33" s="6"/>
      <c r="BI33" s="6"/>
      <c r="BJ33" s="6"/>
    </row>
    <row r="34" spans="1:62" ht="12.75" customHeight="1" x14ac:dyDescent="0.2">
      <c r="A34" s="12">
        <f>IF('СПИСОК КЛАССА'!J34&gt;0,1,0)</f>
        <v>1</v>
      </c>
      <c r="B34" s="100">
        <v>15</v>
      </c>
      <c r="C34" s="101">
        <f>IF(NOT(ISBLANK('СПИСОК КЛАССА'!C34)),'СПИСОК КЛАССА'!C34,"")</f>
        <v>15</v>
      </c>
      <c r="D34" s="134" t="str">
        <f>IF(NOT(ISBLANK('СПИСОК КЛАССА'!D34)),IF($A34=1,'СПИСОК КЛАССА'!D34, "УЧЕНИК НЕ ВЫПОЛНЯЛ РАБОТУ"),"")</f>
        <v/>
      </c>
      <c r="E34" s="459">
        <f>IF($C34&lt;&gt;"",'СПИСОК КЛАССА'!J34,"")</f>
        <v>2</v>
      </c>
      <c r="F34" s="133">
        <f>IF(AND(OR($C34&lt;&gt;"",$D34&lt;&gt;""),$A34=1,$AI$2="ДА"),'Ответы учащихся'!E34,"")</f>
        <v>1</v>
      </c>
      <c r="G34" s="102">
        <f>IF(AND(OR($C34&lt;&gt;"",$D34&lt;&gt;""),$A34=1,$AI$2="ДА"),(IF($A34=1,IF(OR(AND($E34=1,'Ответы учащихся'!F34=2),AND($E34=2,'Ответы учащихся'!F34=4),AND($E34=3,OR('Ответы учащихся'!F34=3,'Ответы учащихся'!F34=4)),AND($E34=4,'Ответы учащихся'!F34=1)),1,IF('Ответы учащихся'!F34="N",'Ответы учащихся'!F34,0)),"")),"")</f>
        <v>1</v>
      </c>
      <c r="H34" s="102">
        <f>IF(AND(OR($C34&lt;&gt;"",$D34&lt;&gt;""),$A34=1,$AI$2="ДА"),(IF($A34=1,IF(OR(AND($E34=1,'Ответы учащихся'!G34=1),AND($E34=2,'Ответы учащихся'!G34=3),AND($E34=3,'Ответы учащихся'!G34=3),AND($E34=4,'Ответы учащихся'!G34=3)),1,IF('Ответы учащихся'!G34="N",'Ответы учащихся'!G34,0)),"")),"")</f>
        <v>1</v>
      </c>
      <c r="I34" s="102">
        <f>IF(AND(OR($C34&lt;&gt;"",$D34&lt;&gt;""),$A34=1,$AI$2="ДА"),(IF($A34=1,IF(OR(AND($E34=1,'Ответы учащихся'!H34=-6),AND($E34=2,'Ответы учащихся'!H34=3),AND($E34=3,'Ответы учащихся'!H34=-8),AND($E34=4,'Ответы учащихся'!H34=-6)),1,IF('Ответы учащихся'!H34="N",'Ответы учащихся'!H34,0)),"")),"")</f>
        <v>1</v>
      </c>
      <c r="J34" s="102">
        <f>IF(AND(OR($C34&lt;&gt;"",$D34&lt;&gt;""),$A34=1,$AI$2="ДА"),(IF($A34=1,IF(OR(AND($E34=1,'Ответы учащихся'!I34=3412),AND($E34=2,'Ответы учащихся'!I34=2314),AND($E34=3,'Ответы учащихся'!I34=3142),AND($E34=4,'Ответы учащихся'!I34=1234)),1,IF('Ответы учащихся'!I34="N",'Ответы учащихся'!I34,0)),"")),"")</f>
        <v>1</v>
      </c>
      <c r="K34" s="102">
        <f>IF(AND(OR($C34&lt;&gt;"",$D34&lt;&gt;""),$A34=1,$AI$2="ДА"),(IF($A34=1,IF(OR(AND($E34=1,'Ответы учащихся'!J34=390),AND($E34=2,'Ответы учащихся'!J34=273),AND($E34=3,'Ответы учащихся'!J34=205),AND($E34=4,'Ответы учащихся'!J34=240)),1,IF('Ответы учащихся'!J34="N",'Ответы учащихся'!J34,0)),"")),"")</f>
        <v>1</v>
      </c>
      <c r="L34" s="102">
        <f>IF(AND(OR($C34&lt;&gt;"",$D34&lt;&gt;""),$A34=1,$AI$2="ДА"),(IF($A34=1,IF(OR(AND($E34=1,'Ответы учащихся'!K34=1),AND($E34=2,'Ответы учащихся'!K34=2),AND($E34=3,'Ответы учащихся'!K34=4),AND($E34=4,'Ответы учащихся'!K34=3)),1,IF('Ответы учащихся'!K34="N",'Ответы учащихся'!K34,0)),"")),"")</f>
        <v>1</v>
      </c>
      <c r="M34" s="102">
        <f>IF(AND(OR($C34&lt;&gt;"",$D34&lt;&gt;""),$A34=1,$AI$2="ДА"),(IF($A34=1,IF(OR(AND($E34=1,'Ответы учащихся'!L34=3),AND($E34=2,'Ответы учащихся'!L34=1),AND($E34=3,'Ответы учащихся'!L34=4),AND($E34=4,'Ответы учащихся'!L34=2)),1,IF('Ответы учащихся'!L34="N",'Ответы учащихся'!L34,0)),"")),"")</f>
        <v>1</v>
      </c>
      <c r="N34" s="102">
        <f>IF(AND(OR($C34&lt;&gt;"",$D34&lt;&gt;""),$A34=1,$AI$2="ДА"),'Ответы учащихся'!M34,"")</f>
        <v>0</v>
      </c>
      <c r="O34" s="102">
        <f>IF(AND(OR($C34&lt;&gt;"",$D34&lt;&gt;""),$A34=1,$AI$2="ДА"),(IF($A34=1,IF(OR(AND($E34=1,'Ответы учащихся'!N34=3),AND($E34=2,'Ответы учащихся'!N34=2),AND($E34=3,'Ответы учащихся'!N34=4),AND($E34=4,'Ответы учащихся'!N34=1)),1,IF('Ответы учащихся'!N34="N",'Ответы учащихся'!N34,0)),"")),"")</f>
        <v>1</v>
      </c>
      <c r="P34" s="102">
        <f>IF(AND(OR($C34&lt;&gt;"",$D34&lt;&gt;""),$A34=1,$AI$2="ДА"),(IF($A34=1,IF(OR(AND($E34=1,'Ответы учащихся'!O34="БВ"),AND($E34=2,'Ответы учащихся'!O34="АВГ"),AND($E34=3,'Ответы учащихся'!O34="БВГ"),AND($E34=4,'Ответы учащихся'!O34="АВ")),1,IF('Ответы учащихся'!O34="N",'Ответы учащихся'!O34,0)),"")),"")</f>
        <v>0</v>
      </c>
      <c r="Q34" s="102">
        <f>IF(AND(OR($C34&lt;&gt;"",$D34&lt;&gt;""),$A34=1,$AI$2="ДА"),(IF($A34=1,IF(OR(AND($E34=1,'Ответы учащихся'!P34=2351),AND($E34=2,'Ответы учащихся'!P34=4132),AND($E34=3,'Ответы учащихся'!P34=3412),AND($E34=4,'Ответы учащихся'!P34=3125)),1,IF('Ответы учащихся'!P34="N",'Ответы учащихся'!P34,0)),"")),"")</f>
        <v>1</v>
      </c>
      <c r="R34" s="102">
        <f>IF(AND(OR($C34&lt;&gt;"",$D34&lt;&gt;""),$A34=1,$AI$2="ДА"),(IF($A34=1,IF(OR(AND($E34=1,'Ответы учащихся'!Q34=2),AND($E34=2,'Ответы учащихся'!Q34=9),AND($E34=3,'Ответы учащихся'!Q34=5),AND($E34=4,'Ответы учащихся'!Q34=2)),1,IF('Ответы учащихся'!Q34="N",'Ответы учащихся'!Q34,0)),"")),"")</f>
        <v>1</v>
      </c>
      <c r="S34" s="102">
        <f>IF(AND(OR($C34&lt;&gt;"",$D34&lt;&gt;""),$A34=1,$AI$2="ДА"),(IF($A34=1,IF(OR(AND($E34=1,'Ответы учащихся'!R34=35),AND($E34=2,'Ответы учащихся'!R34=74),AND($E34=3,'Ответы учащихся'!R34=72),AND($E34=4,'Ответы учащихся'!R34=66)),1,IF('Ответы учащихся'!R34="N",'Ответы учащихся'!R34,0)),"")),"")</f>
        <v>1</v>
      </c>
      <c r="T34" s="102">
        <f>IF(AND(OR($C34&lt;&gt;"",$D34&lt;&gt;""),$A34=1,$AI$2="ДА"),(IF($A34=1,IF(OR(AND($E34=1,'Ответы учащихся'!S34=60),AND($E34=2,'Ответы учащихся'!S34=40),AND($E34=3,'Ответы учащихся'!S34=30),AND($E34=4,'Ответы учащихся'!S34=18)),1,IF('Ответы учащихся'!S34="N",'Ответы учащихся'!S34,0)),"")),"")</f>
        <v>0</v>
      </c>
      <c r="U34" s="102">
        <f>IF(AND(OR($C34&lt;&gt;"",$D34&lt;&gt;""),$A34=1,$AI$2="ДА"),(IF($A34=1,IF(OR(AND($E34=1,'Ответы учащихся'!T34=3),AND($E34=2,'Ответы учащихся'!T34=4),AND($E34=3,'Ответы учащихся'!T34=2),AND($E34=4,'Ответы учащихся'!T34=3)),1,IF('Ответы учащихся'!T34="N",'Ответы учащихся'!T34,0)),"")),"")</f>
        <v>1</v>
      </c>
      <c r="V34" s="102">
        <f>IF(AND(OR($C34&lt;&gt;"",$D34&lt;&gt;""),$A34=1,$AI$2="ДА"),(IF($A34=1,IF(OR(AND($E34=1,'Ответы учащихся'!U34=11),AND($E34=2,'Ответы учащихся'!U34=14),AND($E34=3,'Ответы учащихся'!U34=-2),AND($E34=4,'Ответы учащихся'!U34=25)),1,IF('Ответы учащихся'!U34="N",'Ответы учащихся'!U34,0)),"")),"")</f>
        <v>1</v>
      </c>
      <c r="W34" s="102">
        <f>IF(AND(OR($C34&lt;&gt;"",$D34&lt;&gt;""),$A34=1,$AI$2="ДА"),(IF($A34=1,IF(OR(AND($E34=1,'Ответы учащихся'!V34=3000),AND($E34=2,'Ответы учащихся'!V34=2500),AND($E34=3,'Ответы учащихся'!V34=1500),AND($E34=4,'Ответы учащихся'!V34=1500)),1,IF('Ответы учащихся'!V34="N",'Ответы учащихся'!V34,0)),"")),"")</f>
        <v>1</v>
      </c>
      <c r="X34" s="102"/>
      <c r="Y34" s="102">
        <f>IF(AND(OR($C34&lt;&gt;"",$D34&lt;&gt;""),$A34=1,$AI$2="ДА"),(IF($A34=1,IF(AND('Ответы учащихся'!$W34&lt;&gt;"N",'Ответы учащихся'!$X34&lt;&gt;"N",'Ответы учащихся'!$Y34&lt;&gt;"N",'Ответы учащихся'!$Z34&lt;&gt;"N",'Ответы учащихся'!$AA34&lt;&gt;"N"),(SUM('Ответы учащихся'!$W34:$AA34)),"N"),"")),"")</f>
        <v>0.8</v>
      </c>
      <c r="Z34" s="102"/>
      <c r="AA34" s="102">
        <f>IF(AND(OR($C34&lt;&gt;"",$D34&lt;&gt;""),$A34=1,$AI$2="ДА"),(IF($A34=1,IF(AND('Ответы учащихся'!$AB34&lt;&gt;"N",'Ответы учащихся'!$AC34&lt;&gt;"N",'Ответы учащихся'!$AD34&lt;&gt;"N",'Ответы учащихся'!$AE34&lt;&gt;"N"),(SUM('Ответы учащихся'!$AB34:$AE34)),"N"),"")),"")</f>
        <v>2</v>
      </c>
      <c r="AB34" s="289">
        <f>IF(AND(OR($C34&lt;&gt;"",$D34&lt;&gt;""),$A34=1,$AI$2="ДА"),(IF($A34=1,IF(AND('Ответы учащихся'!$AF34&lt;&gt;"N",'Ответы учащихся'!$AG34&lt;&gt;"N",'Ответы учащихся'!$AH34&lt;&gt;"N",'Ответы учащихся'!$AI34&lt;&gt;"N"),(SUM('Ответы учащихся'!$AF34:$AI34)),"N"),"")),"")</f>
        <v>2</v>
      </c>
      <c r="AC34" s="468">
        <f t="shared" si="6"/>
        <v>19.8</v>
      </c>
      <c r="AD34" s="326">
        <f t="shared" si="7"/>
        <v>0.82500000000000007</v>
      </c>
      <c r="AE34" s="327">
        <f t="shared" si="8"/>
        <v>15</v>
      </c>
      <c r="AF34" s="328">
        <f t="shared" si="9"/>
        <v>83.333333333333343</v>
      </c>
      <c r="AG34" s="327">
        <f t="shared" si="10"/>
        <v>4.8</v>
      </c>
      <c r="AH34" s="329">
        <f t="shared" si="11"/>
        <v>80</v>
      </c>
      <c r="AI34" s="456" t="str">
        <f t="shared" si="12"/>
        <v>ПОВЫШЕННЫЙ</v>
      </c>
      <c r="AJ34" s="446">
        <f t="shared" si="13"/>
        <v>16.614705882352936</v>
      </c>
      <c r="AK34" s="447">
        <f t="shared" si="14"/>
        <v>0.69227941176470575</v>
      </c>
      <c r="AL34" s="445">
        <v>9</v>
      </c>
      <c r="AM34" s="446">
        <f t="shared" si="15"/>
        <v>77.287581699346404</v>
      </c>
      <c r="AN34" s="442">
        <f>IF($A34=1,IF(OR(AND($E34=1,'Ответы учащихся'!W34=0.4),AND($E34=2,'Ответы учащихся'!W34=0.4),AND($E34=3,'Ответы учащихся'!W34=0.4),AND($E34=4,'Ответы учащихся'!W34=0.4)),1,IF('Ответы учащихся'!W34="N",'Ответы учащихся'!W34,0)),"")</f>
        <v>1</v>
      </c>
      <c r="AO34" s="434">
        <f>IF($A34=1,IF(OR(AND($E34=1,'Ответы учащихся'!X34=0.4),AND($E34=2,'Ответы учащихся'!X34=0.4),AND($E34=3,'Ответы учащихся'!X34=0.4),AND($E34=4,'Ответы учащихся'!X34=0.4)),1,IF('Ответы учащихся'!X34="N",'Ответы учащихся'!X34,0)),"")</f>
        <v>1</v>
      </c>
      <c r="AP34" s="434">
        <f>IF($A34=1,IF(OR(AND($E34=1,'Ответы учащихся'!Y34=0.4),AND($E34=2,'Ответы учащихся'!Y34=0.4),AND($E34=3,'Ответы учащихся'!Y34=0.4),AND($E34=4,'Ответы учащихся'!Y34=0.4)),1,IF('Ответы учащихся'!Y34="N",'Ответы учащихся'!Y34,0)),"")</f>
        <v>0</v>
      </c>
      <c r="AQ34" s="434">
        <f>IF($A34=1,IF(OR(AND($E34=1,'Ответы учащихся'!Z34=0.4),AND($E34=2,'Ответы учащихся'!Z34=0.4),AND($E34=3,'Ответы учащихся'!Z34=0.4),AND($E34=4,'Ответы учащихся'!Z34=0.4)),1,IF('Ответы учащихся'!Z34="N",'Ответы учащихся'!Z34,0)),"")</f>
        <v>0</v>
      </c>
      <c r="AR34" s="434">
        <f>IF($A34=1,IF(OR(AND($E34=1,'Ответы учащихся'!AA34=0.4),AND($E34=2,'Ответы учащихся'!AA34=0.4),AND($E34=3,'Ответы учащихся'!AA34=0.4),AND($E34=4,'Ответы учащихся'!AA34=0.4)),1,IF('Ответы учащихся'!AA34="N",'Ответы учащихся'!AA34,0)),"")</f>
        <v>0</v>
      </c>
      <c r="AS34" s="435">
        <f>IF($A34=1,IF(OR(AND($E34=1,'Ответы учащихся'!AB34=0.5),AND($E34=2,'Ответы учащихся'!AB34=0.5),AND($E34=3,'Ответы учащихся'!AB34=0.5),AND($E34=4,'Ответы учащихся'!AB34=0.5)),1,IF('Ответы учащихся'!AB34="N",'Ответы учащихся'!AB34,0)),"")</f>
        <v>1</v>
      </c>
      <c r="AT34" s="435">
        <f>IF($A34=1,IF(OR(AND($E34=1,'Ответы учащихся'!AC34=0.5),AND($E34=2,'Ответы учащихся'!AC34=0.5),AND($E34=3,'Ответы учащихся'!AC34=0.5),AND($E34=4,'Ответы учащихся'!AC34=0.5)),1,IF('Ответы учащихся'!AC34="N",'Ответы учащихся'!AC34,0)),"")</f>
        <v>1</v>
      </c>
      <c r="AU34" s="435">
        <f>IF($A34=1,IF(OR(AND($E34=1,'Ответы учащихся'!AD34=0.5),AND($E34=2,'Ответы учащихся'!AD34=0.5),AND($E34=3,'Ответы учащихся'!AD34=0.5),AND($E34=4,'Ответы учащихся'!AD34=0.5)),1,IF('Ответы учащихся'!AD34="N",'Ответы учащихся'!AD34,0)),"")</f>
        <v>1</v>
      </c>
      <c r="AV34" s="435">
        <f>IF($A34=1,IF(OR(AND($E34=1,'Ответы учащихся'!AE34=0.5),AND($E34=2,'Ответы учащихся'!AE34=0.5),AND($E34=3,'Ответы учащихся'!AE34=0.5),AND($E34=4,'Ответы учащихся'!AE34=0.5)),1,IF('Ответы учащихся'!AE34="N",'Ответы учащихся'!AE34,0)),"")</f>
        <v>1</v>
      </c>
      <c r="AW34" s="436">
        <f>IF($A34=1,IF(OR(AND($E34=1,'Ответы учащихся'!AF34=0.5),AND($E34=2,'Ответы учащихся'!AF34=0.5),AND($E34=3,'Ответы учащихся'!AF34=0.5),AND($E34=4,'Ответы учащихся'!AF34=0.5)),1,IF('Ответы учащихся'!AF34="N",'Ответы учащихся'!AF34,0)),"")</f>
        <v>1</v>
      </c>
      <c r="AX34" s="436">
        <f>IF($A34=1,IF(OR(AND($E34=1,'Ответы учащихся'!AG34=0.5),AND($E34=2,'Ответы учащихся'!AG34=0.5),AND($E34=3,'Ответы учащихся'!AG34=0.5),AND($E34=4,'Ответы учащихся'!AG34=0.5)),1,IF('Ответы учащихся'!AG34="N",'Ответы учащихся'!AG34,0)),"")</f>
        <v>1</v>
      </c>
      <c r="AY34" s="436">
        <f>IF($A34=1,IF(OR(AND($E34=1,'Ответы учащихся'!AH34=0.5),AND($E34=2,'Ответы учащихся'!AH34=0.5),AND($E34=3,'Ответы учащихся'!AH34=0.5),AND($E34=4,'Ответы учащихся'!AH34=0.5)),1,IF('Ответы учащихся'!AH34="N",'Ответы учащихся'!AH34,0)),"")</f>
        <v>1</v>
      </c>
      <c r="AZ34" s="436">
        <f>IF($A34=1,IF(OR(AND($E34=1,'Ответы учащихся'!AI34=0.5),AND($E34=2,'Ответы учащихся'!AI34=0.5),AND($E34=3,'Ответы учащихся'!AI34=0.5),AND($E34=4,'Ответы учащихся'!AI34=0.5)),1,IF('Ответы учащихся'!AI34="N",'Ответы учащихся'!AI34,0)),"")</f>
        <v>1</v>
      </c>
      <c r="BA34" s="429"/>
      <c r="BB34" s="429"/>
      <c r="BC34" s="429"/>
      <c r="BD34" s="429"/>
      <c r="BE34" s="419"/>
      <c r="BF34" s="419"/>
      <c r="BG34" s="6"/>
      <c r="BH34" s="6"/>
      <c r="BI34" s="6"/>
      <c r="BJ34" s="6"/>
    </row>
    <row r="35" spans="1:62" ht="12.75" customHeight="1" x14ac:dyDescent="0.2">
      <c r="A35" s="12">
        <f>IF('СПИСОК КЛАССА'!J35&gt;0,1,0)</f>
        <v>1</v>
      </c>
      <c r="B35" s="100">
        <v>16</v>
      </c>
      <c r="C35" s="101">
        <f>IF(NOT(ISBLANK('СПИСОК КЛАССА'!C35)),'СПИСОК КЛАССА'!C35,"")</f>
        <v>16</v>
      </c>
      <c r="D35" s="134" t="str">
        <f>IF(NOT(ISBLANK('СПИСОК КЛАССА'!D35)),IF($A35=1,'СПИСОК КЛАССА'!D35, "УЧЕНИК НЕ ВЫПОЛНЯЛ РАБОТУ"),"")</f>
        <v/>
      </c>
      <c r="E35" s="459">
        <f>IF($C35&lt;&gt;"",'СПИСОК КЛАССА'!J35,"")</f>
        <v>3</v>
      </c>
      <c r="F35" s="133">
        <f>IF(AND(OR($C35&lt;&gt;"",$D35&lt;&gt;""),$A35=1,$AI$2="ДА"),'Ответы учащихся'!E35,"")</f>
        <v>1</v>
      </c>
      <c r="G35" s="102">
        <f>IF(AND(OR($C35&lt;&gt;"",$D35&lt;&gt;""),$A35=1,$AI$2="ДА"),(IF($A35=1,IF(OR(AND($E35=1,'Ответы учащихся'!F35=2),AND($E35=2,'Ответы учащихся'!F35=4),AND($E35=3,OR('Ответы учащихся'!F35=3,'Ответы учащихся'!F35=4)),AND($E35=4,'Ответы учащихся'!F35=1)),1,IF('Ответы учащихся'!F35="N",'Ответы учащихся'!F35,0)),"")),"")</f>
        <v>1</v>
      </c>
      <c r="H35" s="102">
        <f>IF(AND(OR($C35&lt;&gt;"",$D35&lt;&gt;""),$A35=1,$AI$2="ДА"),(IF($A35=1,IF(OR(AND($E35=1,'Ответы учащихся'!G35=1),AND($E35=2,'Ответы учащихся'!G35=3),AND($E35=3,'Ответы учащихся'!G35=3),AND($E35=4,'Ответы учащихся'!G35=3)),1,IF('Ответы учащихся'!G35="N",'Ответы учащихся'!G35,0)),"")),"")</f>
        <v>1</v>
      </c>
      <c r="I35" s="102">
        <f>IF(AND(OR($C35&lt;&gt;"",$D35&lt;&gt;""),$A35=1,$AI$2="ДА"),(IF($A35=1,IF(OR(AND($E35=1,'Ответы учащихся'!H35=-6),AND($E35=2,'Ответы учащихся'!H35=3),AND($E35=3,'Ответы учащихся'!H35=-8),AND($E35=4,'Ответы учащихся'!H35=-6)),1,IF('Ответы учащихся'!H35="N",'Ответы учащихся'!H35,0)),"")),"")</f>
        <v>1</v>
      </c>
      <c r="J35" s="102">
        <f>IF(AND(OR($C35&lt;&gt;"",$D35&lt;&gt;""),$A35=1,$AI$2="ДА"),(IF($A35=1,IF(OR(AND($E35=1,'Ответы учащихся'!I35=3412),AND($E35=2,'Ответы учащихся'!I35=2314),AND($E35=3,'Ответы учащихся'!I35=3142),AND($E35=4,'Ответы учащихся'!I35=1234)),1,IF('Ответы учащихся'!I35="N",'Ответы учащихся'!I35,0)),"")),"")</f>
        <v>0</v>
      </c>
      <c r="K35" s="102">
        <f>IF(AND(OR($C35&lt;&gt;"",$D35&lt;&gt;""),$A35=1,$AI$2="ДА"),(IF($A35=1,IF(OR(AND($E35=1,'Ответы учащихся'!J35=390),AND($E35=2,'Ответы учащихся'!J35=273),AND($E35=3,'Ответы учащихся'!J35=205),AND($E35=4,'Ответы учащихся'!J35=240)),1,IF('Ответы учащихся'!J35="N",'Ответы учащихся'!J35,0)),"")),"")</f>
        <v>1</v>
      </c>
      <c r="L35" s="102">
        <f>IF(AND(OR($C35&lt;&gt;"",$D35&lt;&gt;""),$A35=1,$AI$2="ДА"),(IF($A35=1,IF(OR(AND($E35=1,'Ответы учащихся'!K35=1),AND($E35=2,'Ответы учащихся'!K35=2),AND($E35=3,'Ответы учащихся'!K35=4),AND($E35=4,'Ответы учащихся'!K35=3)),1,IF('Ответы учащихся'!K35="N",'Ответы учащихся'!K35,0)),"")),"")</f>
        <v>1</v>
      </c>
      <c r="M35" s="102">
        <f>IF(AND(OR($C35&lt;&gt;"",$D35&lt;&gt;""),$A35=1,$AI$2="ДА"),(IF($A35=1,IF(OR(AND($E35=1,'Ответы учащихся'!L35=3),AND($E35=2,'Ответы учащихся'!L35=1),AND($E35=3,'Ответы учащихся'!L35=4),AND($E35=4,'Ответы учащихся'!L35=2)),1,IF('Ответы учащихся'!L35="N",'Ответы учащихся'!L35,0)),"")),"")</f>
        <v>1</v>
      </c>
      <c r="N35" s="102">
        <f>IF(AND(OR($C35&lt;&gt;"",$D35&lt;&gt;""),$A35=1,$AI$2="ДА"),'Ответы учащихся'!M35,"")</f>
        <v>1</v>
      </c>
      <c r="O35" s="102">
        <f>IF(AND(OR($C35&lt;&gt;"",$D35&lt;&gt;""),$A35=1,$AI$2="ДА"),(IF($A35=1,IF(OR(AND($E35=1,'Ответы учащихся'!N35=3),AND($E35=2,'Ответы учащихся'!N35=2),AND($E35=3,'Ответы учащихся'!N35=4),AND($E35=4,'Ответы учащихся'!N35=1)),1,IF('Ответы учащихся'!N35="N",'Ответы учащихся'!N35,0)),"")),"")</f>
        <v>1</v>
      </c>
      <c r="P35" s="102">
        <f>IF(AND(OR($C35&lt;&gt;"",$D35&lt;&gt;""),$A35=1,$AI$2="ДА"),(IF($A35=1,IF(OR(AND($E35=1,'Ответы учащихся'!O35="БВ"),AND($E35=2,'Ответы учащихся'!O35="АВГ"),AND($E35=3,'Ответы учащихся'!O35="БВГ"),AND($E35=4,'Ответы учащихся'!O35="АВ")),1,IF('Ответы учащихся'!O35="N",'Ответы учащихся'!O35,0)),"")),"")</f>
        <v>1</v>
      </c>
      <c r="Q35" s="102">
        <f>IF(AND(OR($C35&lt;&gt;"",$D35&lt;&gt;""),$A35=1,$AI$2="ДА"),(IF($A35=1,IF(OR(AND($E35=1,'Ответы учащихся'!P35=2351),AND($E35=2,'Ответы учащихся'!P35=4132),AND($E35=3,'Ответы учащихся'!P35=3412),AND($E35=4,'Ответы учащихся'!P35=3125)),1,IF('Ответы учащихся'!P35="N",'Ответы учащихся'!P35,0)),"")),"")</f>
        <v>1</v>
      </c>
      <c r="R35" s="102">
        <f>IF(AND(OR($C35&lt;&gt;"",$D35&lt;&gt;""),$A35=1,$AI$2="ДА"),(IF($A35=1,IF(OR(AND($E35=1,'Ответы учащихся'!Q35=2),AND($E35=2,'Ответы учащихся'!Q35=9),AND($E35=3,'Ответы учащихся'!Q35=5),AND($E35=4,'Ответы учащихся'!Q35=2)),1,IF('Ответы учащихся'!Q35="N",'Ответы учащихся'!Q35,0)),"")),"")</f>
        <v>1</v>
      </c>
      <c r="S35" s="102">
        <f>IF(AND(OR($C35&lt;&gt;"",$D35&lt;&gt;""),$A35=1,$AI$2="ДА"),(IF($A35=1,IF(OR(AND($E35=1,'Ответы учащихся'!R35=35),AND($E35=2,'Ответы учащихся'!R35=74),AND($E35=3,'Ответы учащихся'!R35=72),AND($E35=4,'Ответы учащихся'!R35=66)),1,IF('Ответы учащихся'!R35="N",'Ответы учащихся'!R35,0)),"")),"")</f>
        <v>1</v>
      </c>
      <c r="T35" s="102">
        <f>IF(AND(OR($C35&lt;&gt;"",$D35&lt;&gt;""),$A35=1,$AI$2="ДА"),(IF($A35=1,IF(OR(AND($E35=1,'Ответы учащихся'!S35=60),AND($E35=2,'Ответы учащихся'!S35=40),AND($E35=3,'Ответы учащихся'!S35=30),AND($E35=4,'Ответы учащихся'!S35=18)),1,IF('Ответы учащихся'!S35="N",'Ответы учащихся'!S35,0)),"")),"")</f>
        <v>0</v>
      </c>
      <c r="U35" s="102">
        <f>IF(AND(OR($C35&lt;&gt;"",$D35&lt;&gt;""),$A35=1,$AI$2="ДА"),(IF($A35=1,IF(OR(AND($E35=1,'Ответы учащихся'!T35=3),AND($E35=2,'Ответы учащихся'!T35=4),AND($E35=3,'Ответы учащихся'!T35=2),AND($E35=4,'Ответы учащихся'!T35=3)),1,IF('Ответы учащихся'!T35="N",'Ответы учащихся'!T35,0)),"")),"")</f>
        <v>1</v>
      </c>
      <c r="V35" s="102">
        <f>IF(AND(OR($C35&lt;&gt;"",$D35&lt;&gt;""),$A35=1,$AI$2="ДА"),(IF($A35=1,IF(OR(AND($E35=1,'Ответы учащихся'!U35=11),AND($E35=2,'Ответы учащихся'!U35=14),AND($E35=3,'Ответы учащихся'!U35=-2),AND($E35=4,'Ответы учащихся'!U35=25)),1,IF('Ответы учащихся'!U35="N",'Ответы учащихся'!U35,0)),"")),"")</f>
        <v>1</v>
      </c>
      <c r="W35" s="102">
        <f>IF(AND(OR($C35&lt;&gt;"",$D35&lt;&gt;""),$A35=1,$AI$2="ДА"),(IF($A35=1,IF(OR(AND($E35=1,'Ответы учащихся'!V35=3000),AND($E35=2,'Ответы учащихся'!V35=2500),AND($E35=3,'Ответы учащихся'!V35=1500),AND($E35=4,'Ответы учащихся'!V35=1500)),1,IF('Ответы учащихся'!V35="N",'Ответы учащихся'!V35,0)),"")),"")</f>
        <v>1</v>
      </c>
      <c r="X35" s="102"/>
      <c r="Y35" s="102">
        <f>IF(AND(OR($C35&lt;&gt;"",$D35&lt;&gt;""),$A35=1,$AI$2="ДА"),(IF($A35=1,IF(AND('Ответы учащихся'!$W35&lt;&gt;"N",'Ответы учащихся'!$X35&lt;&gt;"N",'Ответы учащихся'!$Y35&lt;&gt;"N",'Ответы учащихся'!$Z35&lt;&gt;"N",'Ответы учащихся'!$AA35&lt;&gt;"N"),(SUM('Ответы учащихся'!$W35:$AA35)),"N"),"")),"")</f>
        <v>1.2000000000000002</v>
      </c>
      <c r="Z35" s="102"/>
      <c r="AA35" s="102">
        <f>IF(AND(OR($C35&lt;&gt;"",$D35&lt;&gt;""),$A35=1,$AI$2="ДА"),(IF($A35=1,IF(AND('Ответы учащихся'!$AB35&lt;&gt;"N",'Ответы учащихся'!$AC35&lt;&gt;"N",'Ответы учащихся'!$AD35&lt;&gt;"N",'Ответы учащихся'!$AE35&lt;&gt;"N"),(SUM('Ответы учащихся'!$AB35:$AE35)),"N"),"")),"")</f>
        <v>1</v>
      </c>
      <c r="AB35" s="289" t="str">
        <f>IF(AND(OR($C35&lt;&gt;"",$D35&lt;&gt;""),$A35=1,$AI$2="ДА"),(IF($A35=1,IF(AND('Ответы учащихся'!$AF35&lt;&gt;"N",'Ответы учащихся'!$AG35&lt;&gt;"N",'Ответы учащихся'!$AH35&lt;&gt;"N",'Ответы учащихся'!$AI35&lt;&gt;"N"),(SUM('Ответы учащихся'!$AF35:$AI35)),"N"),"")),"")</f>
        <v>N</v>
      </c>
      <c r="AC35" s="468">
        <f t="shared" si="6"/>
        <v>18.2</v>
      </c>
      <c r="AD35" s="326">
        <f t="shared" si="7"/>
        <v>0.7583333333333333</v>
      </c>
      <c r="AE35" s="327">
        <f t="shared" si="8"/>
        <v>16</v>
      </c>
      <c r="AF35" s="328">
        <f t="shared" si="9"/>
        <v>88.888888888888886</v>
      </c>
      <c r="AG35" s="327">
        <f t="shared" si="10"/>
        <v>2.2000000000000002</v>
      </c>
      <c r="AH35" s="329">
        <f t="shared" si="11"/>
        <v>36.666666666666671</v>
      </c>
      <c r="AI35" s="456" t="str">
        <f t="shared" si="12"/>
        <v>ПОВЫШЕННЫЙ</v>
      </c>
      <c r="AJ35" s="446">
        <f t="shared" si="13"/>
        <v>16.614705882352936</v>
      </c>
      <c r="AK35" s="447">
        <f t="shared" si="14"/>
        <v>0.69227941176470575</v>
      </c>
      <c r="AL35" s="445">
        <v>9</v>
      </c>
      <c r="AM35" s="446">
        <f t="shared" si="15"/>
        <v>77.287581699346404</v>
      </c>
      <c r="AN35" s="442">
        <f>IF($A35=1,IF(OR(AND($E35=1,'Ответы учащихся'!W35=0.4),AND($E35=2,'Ответы учащихся'!W35=0.4),AND($E35=3,'Ответы учащихся'!W35=0.4),AND($E35=4,'Ответы учащихся'!W35=0.4)),1,IF('Ответы учащихся'!W35="N",'Ответы учащихся'!W35,0)),"")</f>
        <v>1</v>
      </c>
      <c r="AO35" s="434">
        <f>IF($A35=1,IF(OR(AND($E35=1,'Ответы учащихся'!X35=0.4),AND($E35=2,'Ответы учащихся'!X35=0.4),AND($E35=3,'Ответы учащихся'!X35=0.4),AND($E35=4,'Ответы учащихся'!X35=0.4)),1,IF('Ответы учащихся'!X35="N",'Ответы учащихся'!X35,0)),"")</f>
        <v>1</v>
      </c>
      <c r="AP35" s="434">
        <f>IF($A35=1,IF(OR(AND($E35=1,'Ответы учащихся'!Y35=0.4),AND($E35=2,'Ответы учащихся'!Y35=0.4),AND($E35=3,'Ответы учащихся'!Y35=0.4),AND($E35=4,'Ответы учащихся'!Y35=0.4)),1,IF('Ответы учащихся'!Y35="N",'Ответы учащихся'!Y35,0)),"")</f>
        <v>1</v>
      </c>
      <c r="AQ35" s="434">
        <f>IF($A35=1,IF(OR(AND($E35=1,'Ответы учащихся'!Z35=0.4),AND($E35=2,'Ответы учащихся'!Z35=0.4),AND($E35=3,'Ответы учащихся'!Z35=0.4),AND($E35=4,'Ответы учащихся'!Z35=0.4)),1,IF('Ответы учащихся'!Z35="N",'Ответы учащихся'!Z35,0)),"")</f>
        <v>0</v>
      </c>
      <c r="AR35" s="434">
        <f>IF($A35=1,IF(OR(AND($E35=1,'Ответы учащихся'!AA35=0.4),AND($E35=2,'Ответы учащихся'!AA35=0.4),AND($E35=3,'Ответы учащихся'!AA35=0.4),AND($E35=4,'Ответы учащихся'!AA35=0.4)),1,IF('Ответы учащихся'!AA35="N",'Ответы учащихся'!AA35,0)),"")</f>
        <v>0</v>
      </c>
      <c r="AS35" s="435">
        <f>IF($A35=1,IF(OR(AND($E35=1,'Ответы учащихся'!AB35=0.5),AND($E35=2,'Ответы учащихся'!AB35=0.5),AND($E35=3,'Ответы учащихся'!AB35=0.5),AND($E35=4,'Ответы учащихся'!AB35=0.5)),1,IF('Ответы учащихся'!AB35="N",'Ответы учащихся'!AB35,0)),"")</f>
        <v>1</v>
      </c>
      <c r="AT35" s="435">
        <f>IF($A35=1,IF(OR(AND($E35=1,'Ответы учащихся'!AC35=0.5),AND($E35=2,'Ответы учащихся'!AC35=0.5),AND($E35=3,'Ответы учащихся'!AC35=0.5),AND($E35=4,'Ответы учащихся'!AC35=0.5)),1,IF('Ответы учащихся'!AC35="N",'Ответы учащихся'!AC35,0)),"")</f>
        <v>1</v>
      </c>
      <c r="AU35" s="435">
        <f>IF($A35=1,IF(OR(AND($E35=1,'Ответы учащихся'!AD35=0.5),AND($E35=2,'Ответы учащихся'!AD35=0.5),AND($E35=3,'Ответы учащихся'!AD35=0.5),AND($E35=4,'Ответы учащихся'!AD35=0.5)),1,IF('Ответы учащихся'!AD35="N",'Ответы учащихся'!AD35,0)),"")</f>
        <v>0</v>
      </c>
      <c r="AV35" s="435">
        <f>IF($A35=1,IF(OR(AND($E35=1,'Ответы учащихся'!AE35=0.5),AND($E35=2,'Ответы учащихся'!AE35=0.5),AND($E35=3,'Ответы учащихся'!AE35=0.5),AND($E35=4,'Ответы учащихся'!AE35=0.5)),1,IF('Ответы учащихся'!AE35="N",'Ответы учащихся'!AE35,0)),"")</f>
        <v>0</v>
      </c>
      <c r="AW35" s="436" t="str">
        <f>IF($A35=1,IF(OR(AND($E35=1,'Ответы учащихся'!AF35=0.5),AND($E35=2,'Ответы учащихся'!AF35=0.5),AND($E35=3,'Ответы учащихся'!AF35=0.5),AND($E35=4,'Ответы учащихся'!AF35=0.5)),1,IF('Ответы учащихся'!AF35="N",'Ответы учащихся'!AF35,0)),"")</f>
        <v>N</v>
      </c>
      <c r="AX35" s="436" t="str">
        <f>IF($A35=1,IF(OR(AND($E35=1,'Ответы учащихся'!AG35=0.5),AND($E35=2,'Ответы учащихся'!AG35=0.5),AND($E35=3,'Ответы учащихся'!AG35=0.5),AND($E35=4,'Ответы учащихся'!AG35=0.5)),1,IF('Ответы учащихся'!AG35="N",'Ответы учащихся'!AG35,0)),"")</f>
        <v>N</v>
      </c>
      <c r="AY35" s="436" t="str">
        <f>IF($A35=1,IF(OR(AND($E35=1,'Ответы учащихся'!AH35=0.5),AND($E35=2,'Ответы учащихся'!AH35=0.5),AND($E35=3,'Ответы учащихся'!AH35=0.5),AND($E35=4,'Ответы учащихся'!AH35=0.5)),1,IF('Ответы учащихся'!AH35="N",'Ответы учащихся'!AH35,0)),"")</f>
        <v>N</v>
      </c>
      <c r="AZ35" s="436" t="str">
        <f>IF($A35=1,IF(OR(AND($E35=1,'Ответы учащихся'!AI35=0.5),AND($E35=2,'Ответы учащихся'!AI35=0.5),AND($E35=3,'Ответы учащихся'!AI35=0.5),AND($E35=4,'Ответы учащихся'!AI35=0.5)),1,IF('Ответы учащихся'!AI35="N",'Ответы учащихся'!AI35,0)),"")</f>
        <v>N</v>
      </c>
      <c r="BA35" s="429"/>
      <c r="BB35" s="429"/>
      <c r="BC35" s="429"/>
      <c r="BD35" s="429"/>
      <c r="BE35" s="419"/>
      <c r="BF35" s="419"/>
      <c r="BG35" s="6"/>
      <c r="BH35" s="6"/>
      <c r="BI35" s="6"/>
      <c r="BJ35" s="6"/>
    </row>
    <row r="36" spans="1:62" ht="12.75" customHeight="1" x14ac:dyDescent="0.2">
      <c r="A36" s="12">
        <f>IF('СПИСОК КЛАССА'!J36&gt;0,1,0)</f>
        <v>1</v>
      </c>
      <c r="B36" s="100">
        <v>17</v>
      </c>
      <c r="C36" s="101">
        <f>IF(NOT(ISBLANK('СПИСОК КЛАССА'!C36)),'СПИСОК КЛАССА'!C36,"")</f>
        <v>17</v>
      </c>
      <c r="D36" s="134" t="str">
        <f>IF(NOT(ISBLANK('СПИСОК КЛАССА'!D36)),IF($A36=1,'СПИСОК КЛАССА'!D36, "УЧЕНИК НЕ ВЫПОЛНЯЛ РАБОТУ"),"")</f>
        <v/>
      </c>
      <c r="E36" s="459">
        <f>IF($C36&lt;&gt;"",'СПИСОК КЛАССА'!J36,"")</f>
        <v>3</v>
      </c>
      <c r="F36" s="133" t="str">
        <f>IF(AND(OR($C36&lt;&gt;"",$D36&lt;&gt;""),$A36=1,$AI$2="ДА"),'Ответы учащихся'!E36,"")</f>
        <v>N</v>
      </c>
      <c r="G36" s="102">
        <f>IF(AND(OR($C36&lt;&gt;"",$D36&lt;&gt;""),$A36=1,$AI$2="ДА"),(IF($A36=1,IF(OR(AND($E36=1,'Ответы учащихся'!F36=2),AND($E36=2,'Ответы учащихся'!F36=4),AND($E36=3,OR('Ответы учащихся'!F36=3,'Ответы учащихся'!F36=4)),AND($E36=4,'Ответы учащихся'!F36=1)),1,IF('Ответы учащихся'!F36="N",'Ответы учащихся'!F36,0)),"")),"")</f>
        <v>1</v>
      </c>
      <c r="H36" s="102">
        <f>IF(AND(OR($C36&lt;&gt;"",$D36&lt;&gt;""),$A36=1,$AI$2="ДА"),(IF($A36=1,IF(OR(AND($E36=1,'Ответы учащихся'!G36=1),AND($E36=2,'Ответы учащихся'!G36=3),AND($E36=3,'Ответы учащихся'!G36=3),AND($E36=4,'Ответы учащихся'!G36=3)),1,IF('Ответы учащихся'!G36="N",'Ответы учащихся'!G36,0)),"")),"")</f>
        <v>1</v>
      </c>
      <c r="I36" s="102">
        <f>IF(AND(OR($C36&lt;&gt;"",$D36&lt;&gt;""),$A36=1,$AI$2="ДА"),(IF($A36=1,IF(OR(AND($E36=1,'Ответы учащихся'!H36=-6),AND($E36=2,'Ответы учащихся'!H36=3),AND($E36=3,'Ответы учащихся'!H36=-8),AND($E36=4,'Ответы учащихся'!H36=-6)),1,IF('Ответы учащихся'!H36="N",'Ответы учащихся'!H36,0)),"")),"")</f>
        <v>1</v>
      </c>
      <c r="J36" s="102">
        <f>IF(AND(OR($C36&lt;&gt;"",$D36&lt;&gt;""),$A36=1,$AI$2="ДА"),(IF($A36=1,IF(OR(AND($E36=1,'Ответы учащихся'!I36=3412),AND($E36=2,'Ответы учащихся'!I36=2314),AND($E36=3,'Ответы учащихся'!I36=3142),AND($E36=4,'Ответы учащихся'!I36=1234)),1,IF('Ответы учащихся'!I36="N",'Ответы учащихся'!I36,0)),"")),"")</f>
        <v>1</v>
      </c>
      <c r="K36" s="102">
        <f>IF(AND(OR($C36&lt;&gt;"",$D36&lt;&gt;""),$A36=1,$AI$2="ДА"),(IF($A36=1,IF(OR(AND($E36=1,'Ответы учащихся'!J36=390),AND($E36=2,'Ответы учащихся'!J36=273),AND($E36=3,'Ответы учащихся'!J36=205),AND($E36=4,'Ответы учащихся'!J36=240)),1,IF('Ответы учащихся'!J36="N",'Ответы учащихся'!J36,0)),"")),"")</f>
        <v>1</v>
      </c>
      <c r="L36" s="102">
        <f>IF(AND(OR($C36&lt;&gt;"",$D36&lt;&gt;""),$A36=1,$AI$2="ДА"),(IF($A36=1,IF(OR(AND($E36=1,'Ответы учащихся'!K36=1),AND($E36=2,'Ответы учащихся'!K36=2),AND($E36=3,'Ответы учащихся'!K36=4),AND($E36=4,'Ответы учащихся'!K36=3)),1,IF('Ответы учащихся'!K36="N",'Ответы учащихся'!K36,0)),"")),"")</f>
        <v>1</v>
      </c>
      <c r="M36" s="102">
        <f>IF(AND(OR($C36&lt;&gt;"",$D36&lt;&gt;""),$A36=1,$AI$2="ДА"),(IF($A36=1,IF(OR(AND($E36=1,'Ответы учащихся'!L36=3),AND($E36=2,'Ответы учащихся'!L36=1),AND($E36=3,'Ответы учащихся'!L36=4),AND($E36=4,'Ответы учащихся'!L36=2)),1,IF('Ответы учащихся'!L36="N",'Ответы учащихся'!L36,0)),"")),"")</f>
        <v>1</v>
      </c>
      <c r="N36" s="102">
        <f>IF(AND(OR($C36&lt;&gt;"",$D36&lt;&gt;""),$A36=1,$AI$2="ДА"),'Ответы учащихся'!M36,"")</f>
        <v>0</v>
      </c>
      <c r="O36" s="102">
        <f>IF(AND(OR($C36&lt;&gt;"",$D36&lt;&gt;""),$A36=1,$AI$2="ДА"),(IF($A36=1,IF(OR(AND($E36=1,'Ответы учащихся'!N36=3),AND($E36=2,'Ответы учащихся'!N36=2),AND($E36=3,'Ответы учащихся'!N36=4),AND($E36=4,'Ответы учащихся'!N36=1)),1,IF('Ответы учащихся'!N36="N",'Ответы учащихся'!N36,0)),"")),"")</f>
        <v>1</v>
      </c>
      <c r="P36" s="102">
        <f>IF(AND(OR($C36&lt;&gt;"",$D36&lt;&gt;""),$A36=1,$AI$2="ДА"),(IF($A36=1,IF(OR(AND($E36=1,'Ответы учащихся'!O36="БВ"),AND($E36=2,'Ответы учащихся'!O36="АВГ"),AND($E36=3,'Ответы учащихся'!O36="БВГ"),AND($E36=4,'Ответы учащихся'!O36="АВ")),1,IF('Ответы учащихся'!O36="N",'Ответы учащихся'!O36,0)),"")),"")</f>
        <v>1</v>
      </c>
      <c r="Q36" s="102">
        <f>IF(AND(OR($C36&lt;&gt;"",$D36&lt;&gt;""),$A36=1,$AI$2="ДА"),(IF($A36=1,IF(OR(AND($E36=1,'Ответы учащихся'!P36=2351),AND($E36=2,'Ответы учащихся'!P36=4132),AND($E36=3,'Ответы учащихся'!P36=3412),AND($E36=4,'Ответы учащихся'!P36=3125)),1,IF('Ответы учащихся'!P36="N",'Ответы учащихся'!P36,0)),"")),"")</f>
        <v>1</v>
      </c>
      <c r="R36" s="102">
        <f>IF(AND(OR($C36&lt;&gt;"",$D36&lt;&gt;""),$A36=1,$AI$2="ДА"),(IF($A36=1,IF(OR(AND($E36=1,'Ответы учащихся'!Q36=2),AND($E36=2,'Ответы учащихся'!Q36=9),AND($E36=3,'Ответы учащихся'!Q36=5),AND($E36=4,'Ответы учащихся'!Q36=2)),1,IF('Ответы учащихся'!Q36="N",'Ответы учащихся'!Q36,0)),"")),"")</f>
        <v>1</v>
      </c>
      <c r="S36" s="102">
        <f>IF(AND(OR($C36&lt;&gt;"",$D36&lt;&gt;""),$A36=1,$AI$2="ДА"),(IF($A36=1,IF(OR(AND($E36=1,'Ответы учащихся'!R36=35),AND($E36=2,'Ответы учащихся'!R36=74),AND($E36=3,'Ответы учащихся'!R36=72),AND($E36=4,'Ответы учащихся'!R36=66)),1,IF('Ответы учащихся'!R36="N",'Ответы учащихся'!R36,0)),"")),"")</f>
        <v>1</v>
      </c>
      <c r="T36" s="102">
        <f>IF(AND(OR($C36&lt;&gt;"",$D36&lt;&gt;""),$A36=1,$AI$2="ДА"),(IF($A36=1,IF(OR(AND($E36=1,'Ответы учащихся'!S36=60),AND($E36=2,'Ответы учащихся'!S36=40),AND($E36=3,'Ответы учащихся'!S36=30),AND($E36=4,'Ответы учащихся'!S36=18)),1,IF('Ответы учащихся'!S36="N",'Ответы учащихся'!S36,0)),"")),"")</f>
        <v>0</v>
      </c>
      <c r="U36" s="102">
        <f>IF(AND(OR($C36&lt;&gt;"",$D36&lt;&gt;""),$A36=1,$AI$2="ДА"),(IF($A36=1,IF(OR(AND($E36=1,'Ответы учащихся'!T36=3),AND($E36=2,'Ответы учащихся'!T36=4),AND($E36=3,'Ответы учащихся'!T36=2),AND($E36=4,'Ответы учащихся'!T36=3)),1,IF('Ответы учащихся'!T36="N",'Ответы учащихся'!T36,0)),"")),"")</f>
        <v>1</v>
      </c>
      <c r="V36" s="102">
        <f>IF(AND(OR($C36&lt;&gt;"",$D36&lt;&gt;""),$A36=1,$AI$2="ДА"),(IF($A36=1,IF(OR(AND($E36=1,'Ответы учащихся'!U36=11),AND($E36=2,'Ответы учащихся'!U36=14),AND($E36=3,'Ответы учащихся'!U36=-2),AND($E36=4,'Ответы учащихся'!U36=25)),1,IF('Ответы учащихся'!U36="N",'Ответы учащихся'!U36,0)),"")),"")</f>
        <v>1</v>
      </c>
      <c r="W36" s="102">
        <f>IF(AND(OR($C36&lt;&gt;"",$D36&lt;&gt;""),$A36=1,$AI$2="ДА"),(IF($A36=1,IF(OR(AND($E36=1,'Ответы учащихся'!V36=3000),AND($E36=2,'Ответы учащихся'!V36=2500),AND($E36=3,'Ответы учащихся'!V36=1500),AND($E36=4,'Ответы учащихся'!V36=1500)),1,IF('Ответы учащихся'!V36="N",'Ответы учащихся'!V36,0)),"")),"")</f>
        <v>1</v>
      </c>
      <c r="X36" s="102"/>
      <c r="Y36" s="102" t="str">
        <f>IF(AND(OR($C36&lt;&gt;"",$D36&lt;&gt;""),$A36=1,$AI$2="ДА"),(IF($A36=1,IF(AND('Ответы учащихся'!$W36&lt;&gt;"N",'Ответы учащихся'!$X36&lt;&gt;"N",'Ответы учащихся'!$Y36&lt;&gt;"N",'Ответы учащихся'!$Z36&lt;&gt;"N",'Ответы учащихся'!$AA36&lt;&gt;"N"),(SUM('Ответы учащихся'!$W36:$AA36)),"N"),"")),"")</f>
        <v>N</v>
      </c>
      <c r="Z36" s="102"/>
      <c r="AA36" s="102" t="str">
        <f>IF(AND(OR($C36&lt;&gt;"",$D36&lt;&gt;""),$A36=1,$AI$2="ДА"),(IF($A36=1,IF(AND('Ответы учащихся'!$AB36&lt;&gt;"N",'Ответы учащихся'!$AC36&lt;&gt;"N",'Ответы учащихся'!$AD36&lt;&gt;"N",'Ответы учащихся'!$AE36&lt;&gt;"N"),(SUM('Ответы учащихся'!$AB36:$AE36)),"N"),"")),"")</f>
        <v>N</v>
      </c>
      <c r="AB36" s="289" t="str">
        <f>IF(AND(OR($C36&lt;&gt;"",$D36&lt;&gt;""),$A36=1,$AI$2="ДА"),(IF($A36=1,IF(AND('Ответы учащихся'!$AF36&lt;&gt;"N",'Ответы учащихся'!$AG36&lt;&gt;"N",'Ответы учащихся'!$AH36&lt;&gt;"N",'Ответы учащихся'!$AI36&lt;&gt;"N"),(SUM('Ответы учащихся'!$AF36:$AI36)),"N"),"")),"")</f>
        <v>N</v>
      </c>
      <c r="AC36" s="468">
        <f t="shared" si="6"/>
        <v>15</v>
      </c>
      <c r="AD36" s="326">
        <f t="shared" si="7"/>
        <v>0.625</v>
      </c>
      <c r="AE36" s="327">
        <f t="shared" si="8"/>
        <v>15</v>
      </c>
      <c r="AF36" s="328">
        <f t="shared" si="9"/>
        <v>83.333333333333343</v>
      </c>
      <c r="AG36" s="327">
        <f t="shared" si="10"/>
        <v>0</v>
      </c>
      <c r="AH36" s="329">
        <f t="shared" si="11"/>
        <v>0</v>
      </c>
      <c r="AI36" s="456" t="str">
        <f t="shared" si="12"/>
        <v>БАЗОВЫЙ</v>
      </c>
      <c r="AJ36" s="446">
        <f t="shared" si="13"/>
        <v>16.614705882352936</v>
      </c>
      <c r="AK36" s="447">
        <f t="shared" si="14"/>
        <v>0.69227941176470575</v>
      </c>
      <c r="AL36" s="445">
        <v>9</v>
      </c>
      <c r="AM36" s="446">
        <f t="shared" si="15"/>
        <v>77.287581699346404</v>
      </c>
      <c r="AN36" s="442" t="str">
        <f>IF($A36=1,IF(OR(AND($E36=1,'Ответы учащихся'!W36=0.4),AND($E36=2,'Ответы учащихся'!W36=0.4),AND($E36=3,'Ответы учащихся'!W36=0.4),AND($E36=4,'Ответы учащихся'!W36=0.4)),1,IF('Ответы учащихся'!W36="N",'Ответы учащихся'!W36,0)),"")</f>
        <v>N</v>
      </c>
      <c r="AO36" s="434" t="str">
        <f>IF($A36=1,IF(OR(AND($E36=1,'Ответы учащихся'!X36=0.4),AND($E36=2,'Ответы учащихся'!X36=0.4),AND($E36=3,'Ответы учащихся'!X36=0.4),AND($E36=4,'Ответы учащихся'!X36=0.4)),1,IF('Ответы учащихся'!X36="N",'Ответы учащихся'!X36,0)),"")</f>
        <v>N</v>
      </c>
      <c r="AP36" s="434" t="str">
        <f>IF($A36=1,IF(OR(AND($E36=1,'Ответы учащихся'!Y36=0.4),AND($E36=2,'Ответы учащихся'!Y36=0.4),AND($E36=3,'Ответы учащихся'!Y36=0.4),AND($E36=4,'Ответы учащихся'!Y36=0.4)),1,IF('Ответы учащихся'!Y36="N",'Ответы учащихся'!Y36,0)),"")</f>
        <v>N</v>
      </c>
      <c r="AQ36" s="434" t="str">
        <f>IF($A36=1,IF(OR(AND($E36=1,'Ответы учащихся'!Z36=0.4),AND($E36=2,'Ответы учащихся'!Z36=0.4),AND($E36=3,'Ответы учащихся'!Z36=0.4),AND($E36=4,'Ответы учащихся'!Z36=0.4)),1,IF('Ответы учащихся'!Z36="N",'Ответы учащихся'!Z36,0)),"")</f>
        <v>N</v>
      </c>
      <c r="AR36" s="434" t="str">
        <f>IF($A36=1,IF(OR(AND($E36=1,'Ответы учащихся'!AA36=0.4),AND($E36=2,'Ответы учащихся'!AA36=0.4),AND($E36=3,'Ответы учащихся'!AA36=0.4),AND($E36=4,'Ответы учащихся'!AA36=0.4)),1,IF('Ответы учащихся'!AA36="N",'Ответы учащихся'!AA36,0)),"")</f>
        <v>N</v>
      </c>
      <c r="AS36" s="435" t="str">
        <f>IF($A36=1,IF(OR(AND($E36=1,'Ответы учащихся'!AB36=0.5),AND($E36=2,'Ответы учащихся'!AB36=0.5),AND($E36=3,'Ответы учащихся'!AB36=0.5),AND($E36=4,'Ответы учащихся'!AB36=0.5)),1,IF('Ответы учащихся'!AB36="N",'Ответы учащихся'!AB36,0)),"")</f>
        <v>N</v>
      </c>
      <c r="AT36" s="435" t="str">
        <f>IF($A36=1,IF(OR(AND($E36=1,'Ответы учащихся'!AC36=0.5),AND($E36=2,'Ответы учащихся'!AC36=0.5),AND($E36=3,'Ответы учащихся'!AC36=0.5),AND($E36=4,'Ответы учащихся'!AC36=0.5)),1,IF('Ответы учащихся'!AC36="N",'Ответы учащихся'!AC36,0)),"")</f>
        <v>N</v>
      </c>
      <c r="AU36" s="435" t="str">
        <f>IF($A36=1,IF(OR(AND($E36=1,'Ответы учащихся'!AD36=0.5),AND($E36=2,'Ответы учащихся'!AD36=0.5),AND($E36=3,'Ответы учащихся'!AD36=0.5),AND($E36=4,'Ответы учащихся'!AD36=0.5)),1,IF('Ответы учащихся'!AD36="N",'Ответы учащихся'!AD36,0)),"")</f>
        <v>N</v>
      </c>
      <c r="AV36" s="435" t="str">
        <f>IF($A36=1,IF(OR(AND($E36=1,'Ответы учащихся'!AE36=0.5),AND($E36=2,'Ответы учащихся'!AE36=0.5),AND($E36=3,'Ответы учащихся'!AE36=0.5),AND($E36=4,'Ответы учащихся'!AE36=0.5)),1,IF('Ответы учащихся'!AE36="N",'Ответы учащихся'!AE36,0)),"")</f>
        <v>N</v>
      </c>
      <c r="AW36" s="436" t="str">
        <f>IF($A36=1,IF(OR(AND($E36=1,'Ответы учащихся'!AF36=0.5),AND($E36=2,'Ответы учащихся'!AF36=0.5),AND($E36=3,'Ответы учащихся'!AF36=0.5),AND($E36=4,'Ответы учащихся'!AF36=0.5)),1,IF('Ответы учащихся'!AF36="N",'Ответы учащихся'!AF36,0)),"")</f>
        <v>N</v>
      </c>
      <c r="AX36" s="436" t="str">
        <f>IF($A36=1,IF(OR(AND($E36=1,'Ответы учащихся'!AG36=0.5),AND($E36=2,'Ответы учащихся'!AG36=0.5),AND($E36=3,'Ответы учащихся'!AG36=0.5),AND($E36=4,'Ответы учащихся'!AG36=0.5)),1,IF('Ответы учащихся'!AG36="N",'Ответы учащихся'!AG36,0)),"")</f>
        <v>N</v>
      </c>
      <c r="AY36" s="436" t="str">
        <f>IF($A36=1,IF(OR(AND($E36=1,'Ответы учащихся'!AH36=0.5),AND($E36=2,'Ответы учащихся'!AH36=0.5),AND($E36=3,'Ответы учащихся'!AH36=0.5),AND($E36=4,'Ответы учащихся'!AH36=0.5)),1,IF('Ответы учащихся'!AH36="N",'Ответы учащихся'!AH36,0)),"")</f>
        <v>N</v>
      </c>
      <c r="AZ36" s="436" t="str">
        <f>IF($A36=1,IF(OR(AND($E36=1,'Ответы учащихся'!AI36=0.5),AND($E36=2,'Ответы учащихся'!AI36=0.5),AND($E36=3,'Ответы учащихся'!AI36=0.5),AND($E36=4,'Ответы учащихся'!AI36=0.5)),1,IF('Ответы учащихся'!AI36="N",'Ответы учащихся'!AI36,0)),"")</f>
        <v>N</v>
      </c>
      <c r="BA36" s="429"/>
      <c r="BB36" s="429"/>
      <c r="BC36" s="429"/>
      <c r="BD36" s="429"/>
      <c r="BE36" s="419"/>
      <c r="BF36" s="419"/>
      <c r="BG36" s="6"/>
      <c r="BH36" s="6"/>
      <c r="BI36" s="6"/>
      <c r="BJ36" s="6"/>
    </row>
    <row r="37" spans="1:62" ht="12.75" customHeight="1" x14ac:dyDescent="0.2">
      <c r="A37" s="12">
        <f>IF('СПИСОК КЛАССА'!J37&gt;0,1,0)</f>
        <v>1</v>
      </c>
      <c r="B37" s="100">
        <v>18</v>
      </c>
      <c r="C37" s="101">
        <f>IF(NOT(ISBLANK('СПИСОК КЛАССА'!C37)),'СПИСОК КЛАССА'!C37,"")</f>
        <v>18</v>
      </c>
      <c r="D37" s="134" t="str">
        <f>IF(NOT(ISBLANK('СПИСОК КЛАССА'!D37)),IF($A37=1,'СПИСОК КЛАССА'!D37, "УЧЕНИК НЕ ВЫПОЛНЯЛ РАБОТУ"),"")</f>
        <v/>
      </c>
      <c r="E37" s="459">
        <f>IF($C37&lt;&gt;"",'СПИСОК КЛАССА'!J37,"")</f>
        <v>3</v>
      </c>
      <c r="F37" s="133">
        <f>IF(AND(OR($C37&lt;&gt;"",$D37&lt;&gt;""),$A37=1,$AI$2="ДА"),'Ответы учащихся'!E37,"")</f>
        <v>1</v>
      </c>
      <c r="G37" s="102">
        <f>IF(AND(OR($C37&lt;&gt;"",$D37&lt;&gt;""),$A37=1,$AI$2="ДА"),(IF($A37=1,IF(OR(AND($E37=1,'Ответы учащихся'!F37=2),AND($E37=2,'Ответы учащихся'!F37=4),AND($E37=3,OR('Ответы учащихся'!F37=3,'Ответы учащихся'!F37=4)),AND($E37=4,'Ответы учащихся'!F37=1)),1,IF('Ответы учащихся'!F37="N",'Ответы учащихся'!F37,0)),"")),"")</f>
        <v>1</v>
      </c>
      <c r="H37" s="102">
        <f>IF(AND(OR($C37&lt;&gt;"",$D37&lt;&gt;""),$A37=1,$AI$2="ДА"),(IF($A37=1,IF(OR(AND($E37=1,'Ответы учащихся'!G37=1),AND($E37=2,'Ответы учащихся'!G37=3),AND($E37=3,'Ответы учащихся'!G37=3),AND($E37=4,'Ответы учащихся'!G37=3)),1,IF('Ответы учащихся'!G37="N",'Ответы учащихся'!G37,0)),"")),"")</f>
        <v>0</v>
      </c>
      <c r="I37" s="102">
        <f>IF(AND(OR($C37&lt;&gt;"",$D37&lt;&gt;""),$A37=1,$AI$2="ДА"),(IF($A37=1,IF(OR(AND($E37=1,'Ответы учащихся'!H37=-6),AND($E37=2,'Ответы учащихся'!H37=3),AND($E37=3,'Ответы учащихся'!H37=-8),AND($E37=4,'Ответы учащихся'!H37=-6)),1,IF('Ответы учащихся'!H37="N",'Ответы учащихся'!H37,0)),"")),"")</f>
        <v>1</v>
      </c>
      <c r="J37" s="102">
        <f>IF(AND(OR($C37&lt;&gt;"",$D37&lt;&gt;""),$A37=1,$AI$2="ДА"),(IF($A37=1,IF(OR(AND($E37=1,'Ответы учащихся'!I37=3412),AND($E37=2,'Ответы учащихся'!I37=2314),AND($E37=3,'Ответы учащихся'!I37=3142),AND($E37=4,'Ответы учащихся'!I37=1234)),1,IF('Ответы учащихся'!I37="N",'Ответы учащихся'!I37,0)),"")),"")</f>
        <v>0</v>
      </c>
      <c r="K37" s="102">
        <f>IF(AND(OR($C37&lt;&gt;"",$D37&lt;&gt;""),$A37=1,$AI$2="ДА"),(IF($A37=1,IF(OR(AND($E37=1,'Ответы учащихся'!J37=390),AND($E37=2,'Ответы учащихся'!J37=273),AND($E37=3,'Ответы учащихся'!J37=205),AND($E37=4,'Ответы учащихся'!J37=240)),1,IF('Ответы учащихся'!J37="N",'Ответы учащихся'!J37,0)),"")),"")</f>
        <v>0</v>
      </c>
      <c r="L37" s="102">
        <f>IF(AND(OR($C37&lt;&gt;"",$D37&lt;&gt;""),$A37=1,$AI$2="ДА"),(IF($A37=1,IF(OR(AND($E37=1,'Ответы учащихся'!K37=1),AND($E37=2,'Ответы учащихся'!K37=2),AND($E37=3,'Ответы учащихся'!K37=4),AND($E37=4,'Ответы учащихся'!K37=3)),1,IF('Ответы учащихся'!K37="N",'Ответы учащихся'!K37,0)),"")),"")</f>
        <v>1</v>
      </c>
      <c r="M37" s="102" t="str">
        <f>IF(AND(OR($C37&lt;&gt;"",$D37&lt;&gt;""),$A37=1,$AI$2="ДА"),(IF($A37=1,IF(OR(AND($E37=1,'Ответы учащихся'!L37=3),AND($E37=2,'Ответы учащихся'!L37=1),AND($E37=3,'Ответы учащихся'!L37=4),AND($E37=4,'Ответы учащихся'!L37=2)),1,IF('Ответы учащихся'!L37="N",'Ответы учащихся'!L37,0)),"")),"")</f>
        <v>N</v>
      </c>
      <c r="N37" s="102">
        <f>IF(AND(OR($C37&lt;&gt;"",$D37&lt;&gt;""),$A37=1,$AI$2="ДА"),'Ответы учащихся'!M37,"")</f>
        <v>0</v>
      </c>
      <c r="O37" s="102">
        <f>IF(AND(OR($C37&lt;&gt;"",$D37&lt;&gt;""),$A37=1,$AI$2="ДА"),(IF($A37=1,IF(OR(AND($E37=1,'Ответы учащихся'!N37=3),AND($E37=2,'Ответы учащихся'!N37=2),AND($E37=3,'Ответы учащихся'!N37=4),AND($E37=4,'Ответы учащихся'!N37=1)),1,IF('Ответы учащихся'!N37="N",'Ответы учащихся'!N37,0)),"")),"")</f>
        <v>1</v>
      </c>
      <c r="P37" s="102">
        <f>IF(AND(OR($C37&lt;&gt;"",$D37&lt;&gt;""),$A37=1,$AI$2="ДА"),(IF($A37=1,IF(OR(AND($E37=1,'Ответы учащихся'!O37="БВ"),AND($E37=2,'Ответы учащихся'!O37="АВГ"),AND($E37=3,'Ответы учащихся'!O37="БВГ"),AND($E37=4,'Ответы учащихся'!O37="АВ")),1,IF('Ответы учащихся'!O37="N",'Ответы учащихся'!O37,0)),"")),"")</f>
        <v>1</v>
      </c>
      <c r="Q37" s="102">
        <f>IF(AND(OR($C37&lt;&gt;"",$D37&lt;&gt;""),$A37=1,$AI$2="ДА"),(IF($A37=1,IF(OR(AND($E37=1,'Ответы учащихся'!P37=2351),AND($E37=2,'Ответы учащихся'!P37=4132),AND($E37=3,'Ответы учащихся'!P37=3412),AND($E37=4,'Ответы учащихся'!P37=3125)),1,IF('Ответы учащихся'!P37="N",'Ответы учащихся'!P37,0)),"")),"")</f>
        <v>1</v>
      </c>
      <c r="R37" s="102" t="str">
        <f>IF(AND(OR($C37&lt;&gt;"",$D37&lt;&gt;""),$A37=1,$AI$2="ДА"),(IF($A37=1,IF(OR(AND($E37=1,'Ответы учащихся'!Q37=2),AND($E37=2,'Ответы учащихся'!Q37=9),AND($E37=3,'Ответы учащихся'!Q37=5),AND($E37=4,'Ответы учащихся'!Q37=2)),1,IF('Ответы учащихся'!Q37="N",'Ответы учащихся'!Q37,0)),"")),"")</f>
        <v>N</v>
      </c>
      <c r="S37" s="102" t="str">
        <f>IF(AND(OR($C37&lt;&gt;"",$D37&lt;&gt;""),$A37=1,$AI$2="ДА"),(IF($A37=1,IF(OR(AND($E37=1,'Ответы учащихся'!R37=35),AND($E37=2,'Ответы учащихся'!R37=74),AND($E37=3,'Ответы учащихся'!R37=72),AND($E37=4,'Ответы учащихся'!R37=66)),1,IF('Ответы учащихся'!R37="N",'Ответы учащихся'!R37,0)),"")),"")</f>
        <v>N</v>
      </c>
      <c r="T37" s="102" t="str">
        <f>IF(AND(OR($C37&lt;&gt;"",$D37&lt;&gt;""),$A37=1,$AI$2="ДА"),(IF($A37=1,IF(OR(AND($E37=1,'Ответы учащихся'!S37=60),AND($E37=2,'Ответы учащихся'!S37=40),AND($E37=3,'Ответы учащихся'!S37=30),AND($E37=4,'Ответы учащихся'!S37=18)),1,IF('Ответы учащихся'!S37="N",'Ответы учащихся'!S37,0)),"")),"")</f>
        <v>N</v>
      </c>
      <c r="U37" s="102">
        <f>IF(AND(OR($C37&lt;&gt;"",$D37&lt;&gt;""),$A37=1,$AI$2="ДА"),(IF($A37=1,IF(OR(AND($E37=1,'Ответы учащихся'!T37=3),AND($E37=2,'Ответы учащихся'!T37=4),AND($E37=3,'Ответы учащихся'!T37=2),AND($E37=4,'Ответы учащихся'!T37=3)),1,IF('Ответы учащихся'!T37="N",'Ответы учащихся'!T37,0)),"")),"")</f>
        <v>0</v>
      </c>
      <c r="V37" s="102">
        <f>IF(AND(OR($C37&lt;&gt;"",$D37&lt;&gt;""),$A37=1,$AI$2="ДА"),(IF($A37=1,IF(OR(AND($E37=1,'Ответы учащихся'!U37=11),AND($E37=2,'Ответы учащихся'!U37=14),AND($E37=3,'Ответы учащихся'!U37=-2),AND($E37=4,'Ответы учащихся'!U37=25)),1,IF('Ответы учащихся'!U37="N",'Ответы учащихся'!U37,0)),"")),"")</f>
        <v>1</v>
      </c>
      <c r="W37" s="102">
        <f>IF(AND(OR($C37&lt;&gt;"",$D37&lt;&gt;""),$A37=1,$AI$2="ДА"),(IF($A37=1,IF(OR(AND($E37=1,'Ответы учащихся'!V37=3000),AND($E37=2,'Ответы учащихся'!V37=2500),AND($E37=3,'Ответы учащихся'!V37=1500),AND($E37=4,'Ответы учащихся'!V37=1500)),1,IF('Ответы учащихся'!V37="N",'Ответы учащихся'!V37,0)),"")),"")</f>
        <v>0</v>
      </c>
      <c r="X37" s="102"/>
      <c r="Y37" s="102" t="str">
        <f>IF(AND(OR($C37&lt;&gt;"",$D37&lt;&gt;""),$A37=1,$AI$2="ДА"),(IF($A37=1,IF(AND('Ответы учащихся'!$W37&lt;&gt;"N",'Ответы учащихся'!$X37&lt;&gt;"N",'Ответы учащихся'!$Y37&lt;&gt;"N",'Ответы учащихся'!$Z37&lt;&gt;"N",'Ответы учащихся'!$AA37&lt;&gt;"N"),(SUM('Ответы учащихся'!$W37:$AA37)),"N"),"")),"")</f>
        <v>N</v>
      </c>
      <c r="Z37" s="102"/>
      <c r="AA37" s="102" t="str">
        <f>IF(AND(OR($C37&lt;&gt;"",$D37&lt;&gt;""),$A37=1,$AI$2="ДА"),(IF($A37=1,IF(AND('Ответы учащихся'!$AB37&lt;&gt;"N",'Ответы учащихся'!$AC37&lt;&gt;"N",'Ответы учащихся'!$AD37&lt;&gt;"N",'Ответы учащихся'!$AE37&lt;&gt;"N"),(SUM('Ответы учащихся'!$AB37:$AE37)),"N"),"")),"")</f>
        <v>N</v>
      </c>
      <c r="AB37" s="289" t="str">
        <f>IF(AND(OR($C37&lt;&gt;"",$D37&lt;&gt;""),$A37=1,$AI$2="ДА"),(IF($A37=1,IF(AND('Ответы учащихся'!$AF37&lt;&gt;"N",'Ответы учащихся'!$AG37&lt;&gt;"N",'Ответы учащихся'!$AH37&lt;&gt;"N",'Ответы учащихся'!$AI37&lt;&gt;"N"),(SUM('Ответы учащихся'!$AF37:$AI37)),"N"),"")),"")</f>
        <v>N</v>
      </c>
      <c r="AC37" s="468">
        <f t="shared" si="6"/>
        <v>8</v>
      </c>
      <c r="AD37" s="326">
        <f t="shared" si="7"/>
        <v>0.33333333333333331</v>
      </c>
      <c r="AE37" s="327">
        <f t="shared" si="8"/>
        <v>8</v>
      </c>
      <c r="AF37" s="328">
        <f t="shared" si="9"/>
        <v>44.444444444444443</v>
      </c>
      <c r="AG37" s="327">
        <f t="shared" si="10"/>
        <v>0</v>
      </c>
      <c r="AH37" s="329">
        <f t="shared" si="11"/>
        <v>0</v>
      </c>
      <c r="AI37" s="456" t="str">
        <f t="shared" si="12"/>
        <v>НЕДОСТАТОЧНЫЙ</v>
      </c>
      <c r="AJ37" s="446">
        <f t="shared" si="13"/>
        <v>16.614705882352936</v>
      </c>
      <c r="AK37" s="447">
        <f t="shared" si="14"/>
        <v>0.69227941176470575</v>
      </c>
      <c r="AL37" s="445">
        <v>9</v>
      </c>
      <c r="AM37" s="446">
        <f t="shared" si="15"/>
        <v>77.287581699346404</v>
      </c>
      <c r="AN37" s="442" t="str">
        <f>IF($A37=1,IF(OR(AND($E37=1,'Ответы учащихся'!W37=0.4),AND($E37=2,'Ответы учащихся'!W37=0.4),AND($E37=3,'Ответы учащихся'!W37=0.4),AND($E37=4,'Ответы учащихся'!W37=0.4)),1,IF('Ответы учащихся'!W37="N",'Ответы учащихся'!W37,0)),"")</f>
        <v>N</v>
      </c>
      <c r="AO37" s="434" t="str">
        <f>IF($A37=1,IF(OR(AND($E37=1,'Ответы учащихся'!X37=0.4),AND($E37=2,'Ответы учащихся'!X37=0.4),AND($E37=3,'Ответы учащихся'!X37=0.4),AND($E37=4,'Ответы учащихся'!X37=0.4)),1,IF('Ответы учащихся'!X37="N",'Ответы учащихся'!X37,0)),"")</f>
        <v>N</v>
      </c>
      <c r="AP37" s="434" t="str">
        <f>IF($A37=1,IF(OR(AND($E37=1,'Ответы учащихся'!Y37=0.4),AND($E37=2,'Ответы учащихся'!Y37=0.4),AND($E37=3,'Ответы учащихся'!Y37=0.4),AND($E37=4,'Ответы учащихся'!Y37=0.4)),1,IF('Ответы учащихся'!Y37="N",'Ответы учащихся'!Y37,0)),"")</f>
        <v>N</v>
      </c>
      <c r="AQ37" s="434" t="str">
        <f>IF($A37=1,IF(OR(AND($E37=1,'Ответы учащихся'!Z37=0.4),AND($E37=2,'Ответы учащихся'!Z37=0.4),AND($E37=3,'Ответы учащихся'!Z37=0.4),AND($E37=4,'Ответы учащихся'!Z37=0.4)),1,IF('Ответы учащихся'!Z37="N",'Ответы учащихся'!Z37,0)),"")</f>
        <v>N</v>
      </c>
      <c r="AR37" s="434" t="str">
        <f>IF($A37=1,IF(OR(AND($E37=1,'Ответы учащихся'!AA37=0.4),AND($E37=2,'Ответы учащихся'!AA37=0.4),AND($E37=3,'Ответы учащихся'!AA37=0.4),AND($E37=4,'Ответы учащихся'!AA37=0.4)),1,IF('Ответы учащихся'!AA37="N",'Ответы учащихся'!AA37,0)),"")</f>
        <v>N</v>
      </c>
      <c r="AS37" s="435" t="str">
        <f>IF($A37=1,IF(OR(AND($E37=1,'Ответы учащихся'!AB37=0.5),AND($E37=2,'Ответы учащихся'!AB37=0.5),AND($E37=3,'Ответы учащихся'!AB37=0.5),AND($E37=4,'Ответы учащихся'!AB37=0.5)),1,IF('Ответы учащихся'!AB37="N",'Ответы учащихся'!AB37,0)),"")</f>
        <v>N</v>
      </c>
      <c r="AT37" s="435" t="str">
        <f>IF($A37=1,IF(OR(AND($E37=1,'Ответы учащихся'!AC37=0.5),AND($E37=2,'Ответы учащихся'!AC37=0.5),AND($E37=3,'Ответы учащихся'!AC37=0.5),AND($E37=4,'Ответы учащихся'!AC37=0.5)),1,IF('Ответы учащихся'!AC37="N",'Ответы учащихся'!AC37,0)),"")</f>
        <v>N</v>
      </c>
      <c r="AU37" s="435" t="str">
        <f>IF($A37=1,IF(OR(AND($E37=1,'Ответы учащихся'!AD37=0.5),AND($E37=2,'Ответы учащихся'!AD37=0.5),AND($E37=3,'Ответы учащихся'!AD37=0.5),AND($E37=4,'Ответы учащихся'!AD37=0.5)),1,IF('Ответы учащихся'!AD37="N",'Ответы учащихся'!AD37,0)),"")</f>
        <v>N</v>
      </c>
      <c r="AV37" s="435" t="str">
        <f>IF($A37=1,IF(OR(AND($E37=1,'Ответы учащихся'!AE37=0.5),AND($E37=2,'Ответы учащихся'!AE37=0.5),AND($E37=3,'Ответы учащихся'!AE37=0.5),AND($E37=4,'Ответы учащихся'!AE37=0.5)),1,IF('Ответы учащихся'!AE37="N",'Ответы учащихся'!AE37,0)),"")</f>
        <v>N</v>
      </c>
      <c r="AW37" s="436" t="str">
        <f>IF($A37=1,IF(OR(AND($E37=1,'Ответы учащихся'!AF37=0.5),AND($E37=2,'Ответы учащихся'!AF37=0.5),AND($E37=3,'Ответы учащихся'!AF37=0.5),AND($E37=4,'Ответы учащихся'!AF37=0.5)),1,IF('Ответы учащихся'!AF37="N",'Ответы учащихся'!AF37,0)),"")</f>
        <v>N</v>
      </c>
      <c r="AX37" s="436" t="str">
        <f>IF($A37=1,IF(OR(AND($E37=1,'Ответы учащихся'!AG37=0.5),AND($E37=2,'Ответы учащихся'!AG37=0.5),AND($E37=3,'Ответы учащихся'!AG37=0.5),AND($E37=4,'Ответы учащихся'!AG37=0.5)),1,IF('Ответы учащихся'!AG37="N",'Ответы учащихся'!AG37,0)),"")</f>
        <v>N</v>
      </c>
      <c r="AY37" s="436" t="str">
        <f>IF($A37=1,IF(OR(AND($E37=1,'Ответы учащихся'!AH37=0.5),AND($E37=2,'Ответы учащихся'!AH37=0.5),AND($E37=3,'Ответы учащихся'!AH37=0.5),AND($E37=4,'Ответы учащихся'!AH37=0.5)),1,IF('Ответы учащихся'!AH37="N",'Ответы учащихся'!AH37,0)),"")</f>
        <v>N</v>
      </c>
      <c r="AZ37" s="436" t="str">
        <f>IF($A37=1,IF(OR(AND($E37=1,'Ответы учащихся'!AI37=0.5),AND($E37=2,'Ответы учащихся'!AI37=0.5),AND($E37=3,'Ответы учащихся'!AI37=0.5),AND($E37=4,'Ответы учащихся'!AI37=0.5)),1,IF('Ответы учащихся'!AI37="N",'Ответы учащихся'!AI37,0)),"")</f>
        <v>N</v>
      </c>
      <c r="BA37" s="429"/>
      <c r="BB37" s="429"/>
      <c r="BC37" s="429"/>
      <c r="BD37" s="429"/>
      <c r="BE37" s="419"/>
      <c r="BF37" s="419"/>
      <c r="BG37" s="6"/>
      <c r="BH37" s="6"/>
      <c r="BI37" s="6"/>
      <c r="BJ37" s="6"/>
    </row>
    <row r="38" spans="1:62" ht="12.75" customHeight="1" x14ac:dyDescent="0.2">
      <c r="A38" s="12">
        <f>IF('СПИСОК КЛАССА'!J38&gt;0,1,0)</f>
        <v>1</v>
      </c>
      <c r="B38" s="100">
        <v>19</v>
      </c>
      <c r="C38" s="101">
        <f>IF(NOT(ISBLANK('СПИСОК КЛАССА'!C38)),'СПИСОК КЛАССА'!C38,"")</f>
        <v>19</v>
      </c>
      <c r="D38" s="134" t="str">
        <f>IF(NOT(ISBLANK('СПИСОК КЛАССА'!D38)),IF($A38=1,'СПИСОК КЛАССА'!D38, "УЧЕНИК НЕ ВЫПОЛНЯЛ РАБОТУ"),"")</f>
        <v/>
      </c>
      <c r="E38" s="459">
        <f>IF($C38&lt;&gt;"",'СПИСОК КЛАССА'!J38,"")</f>
        <v>2</v>
      </c>
      <c r="F38" s="133">
        <f>IF(AND(OR($C38&lt;&gt;"",$D38&lt;&gt;""),$A38=1,$AI$2="ДА"),'Ответы учащихся'!E38,"")</f>
        <v>1</v>
      </c>
      <c r="G38" s="102">
        <f>IF(AND(OR($C38&lt;&gt;"",$D38&lt;&gt;""),$A38=1,$AI$2="ДА"),(IF($A38=1,IF(OR(AND($E38=1,'Ответы учащихся'!F38=2),AND($E38=2,'Ответы учащихся'!F38=4),AND($E38=3,OR('Ответы учащихся'!F38=3,'Ответы учащихся'!F38=4)),AND($E38=4,'Ответы учащихся'!F38=1)),1,IF('Ответы учащихся'!F38="N",'Ответы учащихся'!F38,0)),"")),"")</f>
        <v>1</v>
      </c>
      <c r="H38" s="102">
        <f>IF(AND(OR($C38&lt;&gt;"",$D38&lt;&gt;""),$A38=1,$AI$2="ДА"),(IF($A38=1,IF(OR(AND($E38=1,'Ответы учащихся'!G38=1),AND($E38=2,'Ответы учащихся'!G38=3),AND($E38=3,'Ответы учащихся'!G38=3),AND($E38=4,'Ответы учащихся'!G38=3)),1,IF('Ответы учащихся'!G38="N",'Ответы учащихся'!G38,0)),"")),"")</f>
        <v>1</v>
      </c>
      <c r="I38" s="102">
        <f>IF(AND(OR($C38&lt;&gt;"",$D38&lt;&gt;""),$A38=1,$AI$2="ДА"),(IF($A38=1,IF(OR(AND($E38=1,'Ответы учащихся'!H38=-6),AND($E38=2,'Ответы учащихся'!H38=3),AND($E38=3,'Ответы учащихся'!H38=-8),AND($E38=4,'Ответы учащихся'!H38=-6)),1,IF('Ответы учащихся'!H38="N",'Ответы учащихся'!H38,0)),"")),"")</f>
        <v>1</v>
      </c>
      <c r="J38" s="102">
        <f>IF(AND(OR($C38&lt;&gt;"",$D38&lt;&gt;""),$A38=1,$AI$2="ДА"),(IF($A38=1,IF(OR(AND($E38=1,'Ответы учащихся'!I38=3412),AND($E38=2,'Ответы учащихся'!I38=2314),AND($E38=3,'Ответы учащихся'!I38=3142),AND($E38=4,'Ответы учащихся'!I38=1234)),1,IF('Ответы учащихся'!I38="N",'Ответы учащихся'!I38,0)),"")),"")</f>
        <v>0</v>
      </c>
      <c r="K38" s="102">
        <f>IF(AND(OR($C38&lt;&gt;"",$D38&lt;&gt;""),$A38=1,$AI$2="ДА"),(IF($A38=1,IF(OR(AND($E38=1,'Ответы учащихся'!J38=390),AND($E38=2,'Ответы учащихся'!J38=273),AND($E38=3,'Ответы учащихся'!J38=205),AND($E38=4,'Ответы учащихся'!J38=240)),1,IF('Ответы учащихся'!J38="N",'Ответы учащихся'!J38,0)),"")),"")</f>
        <v>0</v>
      </c>
      <c r="L38" s="102">
        <f>IF(AND(OR($C38&lt;&gt;"",$D38&lt;&gt;""),$A38=1,$AI$2="ДА"),(IF($A38=1,IF(OR(AND($E38=1,'Ответы учащихся'!K38=1),AND($E38=2,'Ответы учащихся'!K38=2),AND($E38=3,'Ответы учащихся'!K38=4),AND($E38=4,'Ответы учащихся'!K38=3)),1,IF('Ответы учащихся'!K38="N",'Ответы учащихся'!K38,0)),"")),"")</f>
        <v>1</v>
      </c>
      <c r="M38" s="102">
        <f>IF(AND(OR($C38&lt;&gt;"",$D38&lt;&gt;""),$A38=1,$AI$2="ДА"),(IF($A38=1,IF(OR(AND($E38=1,'Ответы учащихся'!L38=3),AND($E38=2,'Ответы учащихся'!L38=1),AND($E38=3,'Ответы учащихся'!L38=4),AND($E38=4,'Ответы учащихся'!L38=2)),1,IF('Ответы учащихся'!L38="N",'Ответы учащихся'!L38,0)),"")),"")</f>
        <v>1</v>
      </c>
      <c r="N38" s="102">
        <f>IF(AND(OR($C38&lt;&gt;"",$D38&lt;&gt;""),$A38=1,$AI$2="ДА"),'Ответы учащихся'!M38,"")</f>
        <v>0</v>
      </c>
      <c r="O38" s="102">
        <f>IF(AND(OR($C38&lt;&gt;"",$D38&lt;&gt;""),$A38=1,$AI$2="ДА"),(IF($A38=1,IF(OR(AND($E38=1,'Ответы учащихся'!N38=3),AND($E38=2,'Ответы учащихся'!N38=2),AND($E38=3,'Ответы учащихся'!N38=4),AND($E38=4,'Ответы учащихся'!N38=1)),1,IF('Ответы учащихся'!N38="N",'Ответы учащихся'!N38,0)),"")),"")</f>
        <v>1</v>
      </c>
      <c r="P38" s="102">
        <f>IF(AND(OR($C38&lt;&gt;"",$D38&lt;&gt;""),$A38=1,$AI$2="ДА"),(IF($A38=1,IF(OR(AND($E38=1,'Ответы учащихся'!O38="БВ"),AND($E38=2,'Ответы учащихся'!O38="АВГ"),AND($E38=3,'Ответы учащихся'!O38="БВГ"),AND($E38=4,'Ответы учащихся'!O38="АВ")),1,IF('Ответы учащихся'!O38="N",'Ответы учащихся'!O38,0)),"")),"")</f>
        <v>0</v>
      </c>
      <c r="Q38" s="102">
        <f>IF(AND(OR($C38&lt;&gt;"",$D38&lt;&gt;""),$A38=1,$AI$2="ДА"),(IF($A38=1,IF(OR(AND($E38=1,'Ответы учащихся'!P38=2351),AND($E38=2,'Ответы учащихся'!P38=4132),AND($E38=3,'Ответы учащихся'!P38=3412),AND($E38=4,'Ответы учащихся'!P38=3125)),1,IF('Ответы учащихся'!P38="N",'Ответы учащихся'!P38,0)),"")),"")</f>
        <v>0</v>
      </c>
      <c r="R38" s="102" t="str">
        <f>IF(AND(OR($C38&lt;&gt;"",$D38&lt;&gt;""),$A38=1,$AI$2="ДА"),(IF($A38=1,IF(OR(AND($E38=1,'Ответы учащихся'!Q38=2),AND($E38=2,'Ответы учащихся'!Q38=9),AND($E38=3,'Ответы учащихся'!Q38=5),AND($E38=4,'Ответы учащихся'!Q38=2)),1,IF('Ответы учащихся'!Q38="N",'Ответы учащихся'!Q38,0)),"")),"")</f>
        <v>N</v>
      </c>
      <c r="S38" s="102" t="str">
        <f>IF(AND(OR($C38&lt;&gt;"",$D38&lt;&gt;""),$A38=1,$AI$2="ДА"),(IF($A38=1,IF(OR(AND($E38=1,'Ответы учащихся'!R38=35),AND($E38=2,'Ответы учащихся'!R38=74),AND($E38=3,'Ответы учащихся'!R38=72),AND($E38=4,'Ответы учащихся'!R38=66)),1,IF('Ответы учащихся'!R38="N",'Ответы учащихся'!R38,0)),"")),"")</f>
        <v>N</v>
      </c>
      <c r="T38" s="102">
        <f>IF(AND(OR($C38&lt;&gt;"",$D38&lt;&gt;""),$A38=1,$AI$2="ДА"),(IF($A38=1,IF(OR(AND($E38=1,'Ответы учащихся'!S38=60),AND($E38=2,'Ответы учащихся'!S38=40),AND($E38=3,'Ответы учащихся'!S38=30),AND($E38=4,'Ответы учащихся'!S38=18)),1,IF('Ответы учащихся'!S38="N",'Ответы учащихся'!S38,0)),"")),"")</f>
        <v>0</v>
      </c>
      <c r="U38" s="102">
        <f>IF(AND(OR($C38&lt;&gt;"",$D38&lt;&gt;""),$A38=1,$AI$2="ДА"),(IF($A38=1,IF(OR(AND($E38=1,'Ответы учащихся'!T38=3),AND($E38=2,'Ответы учащихся'!T38=4),AND($E38=3,'Ответы учащихся'!T38=2),AND($E38=4,'Ответы учащихся'!T38=3)),1,IF('Ответы учащихся'!T38="N",'Ответы учащихся'!T38,0)),"")),"")</f>
        <v>1</v>
      </c>
      <c r="V38" s="102">
        <f>IF(AND(OR($C38&lt;&gt;"",$D38&lt;&gt;""),$A38=1,$AI$2="ДА"),(IF($A38=1,IF(OR(AND($E38=1,'Ответы учащихся'!U38=11),AND($E38=2,'Ответы учащихся'!U38=14),AND($E38=3,'Ответы учащихся'!U38=-2),AND($E38=4,'Ответы учащихся'!U38=25)),1,IF('Ответы учащихся'!U38="N",'Ответы учащихся'!U38,0)),"")),"")</f>
        <v>1</v>
      </c>
      <c r="W38" s="102">
        <f>IF(AND(OR($C38&lt;&gt;"",$D38&lt;&gt;""),$A38=1,$AI$2="ДА"),(IF($A38=1,IF(OR(AND($E38=1,'Ответы учащихся'!V38=3000),AND($E38=2,'Ответы учащихся'!V38=2500),AND($E38=3,'Ответы учащихся'!V38=1500),AND($E38=4,'Ответы учащихся'!V38=1500)),1,IF('Ответы учащихся'!V38="N",'Ответы учащихся'!V38,0)),"")),"")</f>
        <v>1</v>
      </c>
      <c r="X38" s="102"/>
      <c r="Y38" s="102">
        <f>IF(AND(OR($C38&lt;&gt;"",$D38&lt;&gt;""),$A38=1,$AI$2="ДА"),(IF($A38=1,IF(AND('Ответы учащихся'!$W38&lt;&gt;"N",'Ответы учащихся'!$X38&lt;&gt;"N",'Ответы учащихся'!$Y38&lt;&gt;"N",'Ответы учащихся'!$Z38&lt;&gt;"N",'Ответы учащихся'!$AA38&lt;&gt;"N"),(SUM('Ответы учащихся'!$W38:$AA38)),"N"),"")),"")</f>
        <v>0.4</v>
      </c>
      <c r="Z38" s="102"/>
      <c r="AA38" s="102">
        <f>IF(AND(OR($C38&lt;&gt;"",$D38&lt;&gt;""),$A38=1,$AI$2="ДА"),(IF($A38=1,IF(AND('Ответы учащихся'!$AB38&lt;&gt;"N",'Ответы учащихся'!$AC38&lt;&gt;"N",'Ответы учащихся'!$AD38&lt;&gt;"N",'Ответы учащихся'!$AE38&lt;&gt;"N"),(SUM('Ответы учащихся'!$AB38:$AE38)),"N"),"")),"")</f>
        <v>2</v>
      </c>
      <c r="AB38" s="289" t="str">
        <f>IF(AND(OR($C38&lt;&gt;"",$D38&lt;&gt;""),$A38=1,$AI$2="ДА"),(IF($A38=1,IF(AND('Ответы учащихся'!$AF38&lt;&gt;"N",'Ответы учащихся'!$AG38&lt;&gt;"N",'Ответы учащихся'!$AH38&lt;&gt;"N",'Ответы учащихся'!$AI38&lt;&gt;"N"),(SUM('Ответы учащихся'!$AF38:$AI38)),"N"),"")),"")</f>
        <v>N</v>
      </c>
      <c r="AC38" s="468">
        <f t="shared" si="6"/>
        <v>12.4</v>
      </c>
      <c r="AD38" s="326">
        <f t="shared" si="7"/>
        <v>0.51666666666666672</v>
      </c>
      <c r="AE38" s="327">
        <f t="shared" si="8"/>
        <v>10</v>
      </c>
      <c r="AF38" s="328">
        <f t="shared" si="9"/>
        <v>55.555555555555557</v>
      </c>
      <c r="AG38" s="327">
        <f t="shared" si="10"/>
        <v>2.4</v>
      </c>
      <c r="AH38" s="329">
        <f t="shared" si="11"/>
        <v>40</v>
      </c>
      <c r="AI38" s="456" t="str">
        <f t="shared" si="12"/>
        <v>БАЗОВЫЙ</v>
      </c>
      <c r="AJ38" s="446">
        <f t="shared" si="13"/>
        <v>16.614705882352936</v>
      </c>
      <c r="AK38" s="447">
        <f t="shared" si="14"/>
        <v>0.69227941176470575</v>
      </c>
      <c r="AL38" s="445">
        <v>9</v>
      </c>
      <c r="AM38" s="446">
        <f t="shared" si="15"/>
        <v>77.287581699346404</v>
      </c>
      <c r="AN38" s="442">
        <f>IF($A38=1,IF(OR(AND($E38=1,'Ответы учащихся'!W38=0.4),AND($E38=2,'Ответы учащихся'!W38=0.4),AND($E38=3,'Ответы учащихся'!W38=0.4),AND($E38=4,'Ответы учащихся'!W38=0.4)),1,IF('Ответы учащихся'!W38="N",'Ответы учащихся'!W38,0)),"")</f>
        <v>1</v>
      </c>
      <c r="AO38" s="434">
        <f>IF($A38=1,IF(OR(AND($E38=1,'Ответы учащихся'!X38=0.4),AND($E38=2,'Ответы учащихся'!X38=0.4),AND($E38=3,'Ответы учащихся'!X38=0.4),AND($E38=4,'Ответы учащихся'!X38=0.4)),1,IF('Ответы учащихся'!X38="N",'Ответы учащихся'!X38,0)),"")</f>
        <v>0</v>
      </c>
      <c r="AP38" s="434">
        <f>IF($A38=1,IF(OR(AND($E38=1,'Ответы учащихся'!Y38=0.4),AND($E38=2,'Ответы учащихся'!Y38=0.4),AND($E38=3,'Ответы учащихся'!Y38=0.4),AND($E38=4,'Ответы учащихся'!Y38=0.4)),1,IF('Ответы учащихся'!Y38="N",'Ответы учащихся'!Y38,0)),"")</f>
        <v>0</v>
      </c>
      <c r="AQ38" s="434">
        <f>IF($A38=1,IF(OR(AND($E38=1,'Ответы учащихся'!Z38=0.4),AND($E38=2,'Ответы учащихся'!Z38=0.4),AND($E38=3,'Ответы учащихся'!Z38=0.4),AND($E38=4,'Ответы учащихся'!Z38=0.4)),1,IF('Ответы учащихся'!Z38="N",'Ответы учащихся'!Z38,0)),"")</f>
        <v>0</v>
      </c>
      <c r="AR38" s="434">
        <f>IF($A38=1,IF(OR(AND($E38=1,'Ответы учащихся'!AA38=0.4),AND($E38=2,'Ответы учащихся'!AA38=0.4),AND($E38=3,'Ответы учащихся'!AA38=0.4),AND($E38=4,'Ответы учащихся'!AA38=0.4)),1,IF('Ответы учащихся'!AA38="N",'Ответы учащихся'!AA38,0)),"")</f>
        <v>0</v>
      </c>
      <c r="AS38" s="435">
        <f>IF($A38=1,IF(OR(AND($E38=1,'Ответы учащихся'!AB38=0.5),AND($E38=2,'Ответы учащихся'!AB38=0.5),AND($E38=3,'Ответы учащихся'!AB38=0.5),AND($E38=4,'Ответы учащихся'!AB38=0.5)),1,IF('Ответы учащихся'!AB38="N",'Ответы учащихся'!AB38,0)),"")</f>
        <v>1</v>
      </c>
      <c r="AT38" s="435">
        <f>IF($A38=1,IF(OR(AND($E38=1,'Ответы учащихся'!AC38=0.5),AND($E38=2,'Ответы учащихся'!AC38=0.5),AND($E38=3,'Ответы учащихся'!AC38=0.5),AND($E38=4,'Ответы учащихся'!AC38=0.5)),1,IF('Ответы учащихся'!AC38="N",'Ответы учащихся'!AC38,0)),"")</f>
        <v>1</v>
      </c>
      <c r="AU38" s="435">
        <f>IF($A38=1,IF(OR(AND($E38=1,'Ответы учащихся'!AD38=0.5),AND($E38=2,'Ответы учащихся'!AD38=0.5),AND($E38=3,'Ответы учащихся'!AD38=0.5),AND($E38=4,'Ответы учащихся'!AD38=0.5)),1,IF('Ответы учащихся'!AD38="N",'Ответы учащихся'!AD38,0)),"")</f>
        <v>1</v>
      </c>
      <c r="AV38" s="435">
        <f>IF($A38=1,IF(OR(AND($E38=1,'Ответы учащихся'!AE38=0.5),AND($E38=2,'Ответы учащихся'!AE38=0.5),AND($E38=3,'Ответы учащихся'!AE38=0.5),AND($E38=4,'Ответы учащихся'!AE38=0.5)),1,IF('Ответы учащихся'!AE38="N",'Ответы учащихся'!AE38,0)),"")</f>
        <v>1</v>
      </c>
      <c r="AW38" s="436" t="str">
        <f>IF($A38=1,IF(OR(AND($E38=1,'Ответы учащихся'!AF38=0.5),AND($E38=2,'Ответы учащихся'!AF38=0.5),AND($E38=3,'Ответы учащихся'!AF38=0.5),AND($E38=4,'Ответы учащихся'!AF38=0.5)),1,IF('Ответы учащихся'!AF38="N",'Ответы учащихся'!AF38,0)),"")</f>
        <v>N</v>
      </c>
      <c r="AX38" s="436" t="str">
        <f>IF($A38=1,IF(OR(AND($E38=1,'Ответы учащихся'!AG38=0.5),AND($E38=2,'Ответы учащихся'!AG38=0.5),AND($E38=3,'Ответы учащихся'!AG38=0.5),AND($E38=4,'Ответы учащихся'!AG38=0.5)),1,IF('Ответы учащихся'!AG38="N",'Ответы учащихся'!AG38,0)),"")</f>
        <v>N</v>
      </c>
      <c r="AY38" s="436" t="str">
        <f>IF($A38=1,IF(OR(AND($E38=1,'Ответы учащихся'!AH38=0.5),AND($E38=2,'Ответы учащихся'!AH38=0.5),AND($E38=3,'Ответы учащихся'!AH38=0.5),AND($E38=4,'Ответы учащихся'!AH38=0.5)),1,IF('Ответы учащихся'!AH38="N",'Ответы учащихся'!AH38,0)),"")</f>
        <v>N</v>
      </c>
      <c r="AZ38" s="436" t="str">
        <f>IF($A38=1,IF(OR(AND($E38=1,'Ответы учащихся'!AI38=0.5),AND($E38=2,'Ответы учащихся'!AI38=0.5),AND($E38=3,'Ответы учащихся'!AI38=0.5),AND($E38=4,'Ответы учащихся'!AI38=0.5)),1,IF('Ответы учащихся'!AI38="N",'Ответы учащихся'!AI38,0)),"")</f>
        <v>N</v>
      </c>
      <c r="BA38" s="429"/>
      <c r="BB38" s="429"/>
      <c r="BC38" s="429"/>
      <c r="BD38" s="429"/>
      <c r="BE38" s="419"/>
      <c r="BF38" s="419"/>
      <c r="BG38" s="6"/>
      <c r="BH38" s="6"/>
      <c r="BI38" s="6"/>
      <c r="BJ38" s="6"/>
    </row>
    <row r="39" spans="1:62" ht="12.75" customHeight="1" x14ac:dyDescent="0.2">
      <c r="A39" s="12">
        <f>IF('СПИСОК КЛАССА'!J39&gt;0,1,0)</f>
        <v>1</v>
      </c>
      <c r="B39" s="100">
        <v>20</v>
      </c>
      <c r="C39" s="101">
        <f>IF(NOT(ISBLANK('СПИСОК КЛАССА'!C39)),'СПИСОК КЛАССА'!C39,"")</f>
        <v>20</v>
      </c>
      <c r="D39" s="134" t="str">
        <f>IF(NOT(ISBLANK('СПИСОК КЛАССА'!D39)),IF($A39=1,'СПИСОК КЛАССА'!D39, "УЧЕНИК НЕ ВЫПОЛНЯЛ РАБОТУ"),"")</f>
        <v/>
      </c>
      <c r="E39" s="459">
        <f>IF($C39&lt;&gt;"",'СПИСОК КЛАССА'!J39,"")</f>
        <v>2</v>
      </c>
      <c r="F39" s="133">
        <f>IF(AND(OR($C39&lt;&gt;"",$D39&lt;&gt;""),$A39=1,$AI$2="ДА"),'Ответы учащихся'!E39,"")</f>
        <v>1</v>
      </c>
      <c r="G39" s="102">
        <f>IF(AND(OR($C39&lt;&gt;"",$D39&lt;&gt;""),$A39=1,$AI$2="ДА"),(IF($A39=1,IF(OR(AND($E39=1,'Ответы учащихся'!F39=2),AND($E39=2,'Ответы учащихся'!F39=4),AND($E39=3,OR('Ответы учащихся'!F39=3,'Ответы учащихся'!F39=4)),AND($E39=4,'Ответы учащихся'!F39=1)),1,IF('Ответы учащихся'!F39="N",'Ответы учащихся'!F39,0)),"")),"")</f>
        <v>1</v>
      </c>
      <c r="H39" s="102">
        <f>IF(AND(OR($C39&lt;&gt;"",$D39&lt;&gt;""),$A39=1,$AI$2="ДА"),(IF($A39=1,IF(OR(AND($E39=1,'Ответы учащихся'!G39=1),AND($E39=2,'Ответы учащихся'!G39=3),AND($E39=3,'Ответы учащихся'!G39=3),AND($E39=4,'Ответы учащихся'!G39=3)),1,IF('Ответы учащихся'!G39="N",'Ответы учащихся'!G39,0)),"")),"")</f>
        <v>1</v>
      </c>
      <c r="I39" s="102">
        <f>IF(AND(OR($C39&lt;&gt;"",$D39&lt;&gt;""),$A39=1,$AI$2="ДА"),(IF($A39=1,IF(OR(AND($E39=1,'Ответы учащихся'!H39=-6),AND($E39=2,'Ответы учащихся'!H39=3),AND($E39=3,'Ответы учащихся'!H39=-8),AND($E39=4,'Ответы учащихся'!H39=-6)),1,IF('Ответы учащихся'!H39="N",'Ответы учащихся'!H39,0)),"")),"")</f>
        <v>1</v>
      </c>
      <c r="J39" s="102">
        <f>IF(AND(OR($C39&lt;&gt;"",$D39&lt;&gt;""),$A39=1,$AI$2="ДА"),(IF($A39=1,IF(OR(AND($E39=1,'Ответы учащихся'!I39=3412),AND($E39=2,'Ответы учащихся'!I39=2314),AND($E39=3,'Ответы учащихся'!I39=3142),AND($E39=4,'Ответы учащихся'!I39=1234)),1,IF('Ответы учащихся'!I39="N",'Ответы учащихся'!I39,0)),"")),"")</f>
        <v>0</v>
      </c>
      <c r="K39" s="102">
        <f>IF(AND(OR($C39&lt;&gt;"",$D39&lt;&gt;""),$A39=1,$AI$2="ДА"),(IF($A39=1,IF(OR(AND($E39=1,'Ответы учащихся'!J39=390),AND($E39=2,'Ответы учащихся'!J39=273),AND($E39=3,'Ответы учащихся'!J39=205),AND($E39=4,'Ответы учащихся'!J39=240)),1,IF('Ответы учащихся'!J39="N",'Ответы учащихся'!J39,0)),"")),"")</f>
        <v>0</v>
      </c>
      <c r="L39" s="102">
        <f>IF(AND(OR($C39&lt;&gt;"",$D39&lt;&gt;""),$A39=1,$AI$2="ДА"),(IF($A39=1,IF(OR(AND($E39=1,'Ответы учащихся'!K39=1),AND($E39=2,'Ответы учащихся'!K39=2),AND($E39=3,'Ответы учащихся'!K39=4),AND($E39=4,'Ответы учащихся'!K39=3)),1,IF('Ответы учащихся'!K39="N",'Ответы учащихся'!K39,0)),"")),"")</f>
        <v>1</v>
      </c>
      <c r="M39" s="102">
        <f>IF(AND(OR($C39&lt;&gt;"",$D39&lt;&gt;""),$A39=1,$AI$2="ДА"),(IF($A39=1,IF(OR(AND($E39=1,'Ответы учащихся'!L39=3),AND($E39=2,'Ответы учащихся'!L39=1),AND($E39=3,'Ответы учащихся'!L39=4),AND($E39=4,'Ответы учащихся'!L39=2)),1,IF('Ответы учащихся'!L39="N",'Ответы учащихся'!L39,0)),"")),"")</f>
        <v>1</v>
      </c>
      <c r="N39" s="102">
        <f>IF(AND(OR($C39&lt;&gt;"",$D39&lt;&gt;""),$A39=1,$AI$2="ДА"),'Ответы учащихся'!M39,"")</f>
        <v>0</v>
      </c>
      <c r="O39" s="102">
        <f>IF(AND(OR($C39&lt;&gt;"",$D39&lt;&gt;""),$A39=1,$AI$2="ДА"),(IF($A39=1,IF(OR(AND($E39=1,'Ответы учащихся'!N39=3),AND($E39=2,'Ответы учащихся'!N39=2),AND($E39=3,'Ответы учащихся'!N39=4),AND($E39=4,'Ответы учащихся'!N39=1)),1,IF('Ответы учащихся'!N39="N",'Ответы учащихся'!N39,0)),"")),"")</f>
        <v>1</v>
      </c>
      <c r="P39" s="102">
        <f>IF(AND(OR($C39&lt;&gt;"",$D39&lt;&gt;""),$A39=1,$AI$2="ДА"),(IF($A39=1,IF(OR(AND($E39=1,'Ответы учащихся'!O39="БВ"),AND($E39=2,'Ответы учащихся'!O39="АВГ"),AND($E39=3,'Ответы учащихся'!O39="БВГ"),AND($E39=4,'Ответы учащихся'!O39="АВ")),1,IF('Ответы учащихся'!O39="N",'Ответы учащихся'!O39,0)),"")),"")</f>
        <v>0</v>
      </c>
      <c r="Q39" s="102">
        <f>IF(AND(OR($C39&lt;&gt;"",$D39&lt;&gt;""),$A39=1,$AI$2="ДА"),(IF($A39=1,IF(OR(AND($E39=1,'Ответы учащихся'!P39=2351),AND($E39=2,'Ответы учащихся'!P39=4132),AND($E39=3,'Ответы учащихся'!P39=3412),AND($E39=4,'Ответы учащихся'!P39=3125)),1,IF('Ответы учащихся'!P39="N",'Ответы учащихся'!P39,0)),"")),"")</f>
        <v>1</v>
      </c>
      <c r="R39" s="102">
        <f>IF(AND(OR($C39&lt;&gt;"",$D39&lt;&gt;""),$A39=1,$AI$2="ДА"),(IF($A39=1,IF(OR(AND($E39=1,'Ответы учащихся'!Q39=2),AND($E39=2,'Ответы учащихся'!Q39=9),AND($E39=3,'Ответы учащихся'!Q39=5),AND($E39=4,'Ответы учащихся'!Q39=2)),1,IF('Ответы учащихся'!Q39="N",'Ответы учащихся'!Q39,0)),"")),"")</f>
        <v>1</v>
      </c>
      <c r="S39" s="102">
        <f>IF(AND(OR($C39&lt;&gt;"",$D39&lt;&gt;""),$A39=1,$AI$2="ДА"),(IF($A39=1,IF(OR(AND($E39=1,'Ответы учащихся'!R39=35),AND($E39=2,'Ответы учащихся'!R39=74),AND($E39=3,'Ответы учащихся'!R39=72),AND($E39=4,'Ответы учащихся'!R39=66)),1,IF('Ответы учащихся'!R39="N",'Ответы учащихся'!R39,0)),"")),"")</f>
        <v>1</v>
      </c>
      <c r="T39" s="102">
        <f>IF(AND(OR($C39&lt;&gt;"",$D39&lt;&gt;""),$A39=1,$AI$2="ДА"),(IF($A39=1,IF(OR(AND($E39=1,'Ответы учащихся'!S39=60),AND($E39=2,'Ответы учащихся'!S39=40),AND($E39=3,'Ответы учащихся'!S39=30),AND($E39=4,'Ответы учащихся'!S39=18)),1,IF('Ответы учащихся'!S39="N",'Ответы учащихся'!S39,0)),"")),"")</f>
        <v>0</v>
      </c>
      <c r="U39" s="102">
        <f>IF(AND(OR($C39&lt;&gt;"",$D39&lt;&gt;""),$A39=1,$AI$2="ДА"),(IF($A39=1,IF(OR(AND($E39=1,'Ответы учащихся'!T39=3),AND($E39=2,'Ответы учащихся'!T39=4),AND($E39=3,'Ответы учащихся'!T39=2),AND($E39=4,'Ответы учащихся'!T39=3)),1,IF('Ответы учащихся'!T39="N",'Ответы учащихся'!T39,0)),"")),"")</f>
        <v>1</v>
      </c>
      <c r="V39" s="102">
        <f>IF(AND(OR($C39&lt;&gt;"",$D39&lt;&gt;""),$A39=1,$AI$2="ДА"),(IF($A39=1,IF(OR(AND($E39=1,'Ответы учащихся'!U39=11),AND($E39=2,'Ответы учащихся'!U39=14),AND($E39=3,'Ответы учащихся'!U39=-2),AND($E39=4,'Ответы учащихся'!U39=25)),1,IF('Ответы учащихся'!U39="N",'Ответы учащихся'!U39,0)),"")),"")</f>
        <v>1</v>
      </c>
      <c r="W39" s="102">
        <f>IF(AND(OR($C39&lt;&gt;"",$D39&lt;&gt;""),$A39=1,$AI$2="ДА"),(IF($A39=1,IF(OR(AND($E39=1,'Ответы учащихся'!V39=3000),AND($E39=2,'Ответы учащихся'!V39=2500),AND($E39=3,'Ответы учащихся'!V39=1500),AND($E39=4,'Ответы учащихся'!V39=1500)),1,IF('Ответы учащихся'!V39="N",'Ответы учащихся'!V39,0)),"")),"")</f>
        <v>1</v>
      </c>
      <c r="X39" s="102"/>
      <c r="Y39" s="102">
        <f>IF(AND(OR($C39&lt;&gt;"",$D39&lt;&gt;""),$A39=1,$AI$2="ДА"),(IF($A39=1,IF(AND('Ответы учащихся'!$W39&lt;&gt;"N",'Ответы учащихся'!$X39&lt;&gt;"N",'Ответы учащихся'!$Y39&lt;&gt;"N",'Ответы учащихся'!$Z39&lt;&gt;"N",'Ответы учащихся'!$AA39&lt;&gt;"N"),(SUM('Ответы учащихся'!$W39:$AA39)),"N"),"")),"")</f>
        <v>2</v>
      </c>
      <c r="Z39" s="102"/>
      <c r="AA39" s="102" t="str">
        <f>IF(AND(OR($C39&lt;&gt;"",$D39&lt;&gt;""),$A39=1,$AI$2="ДА"),(IF($A39=1,IF(AND('Ответы учащихся'!$AB39&lt;&gt;"N",'Ответы учащихся'!$AC39&lt;&gt;"N",'Ответы учащихся'!$AD39&lt;&gt;"N",'Ответы учащихся'!$AE39&lt;&gt;"N"),(SUM('Ответы учащихся'!$AB39:$AE39)),"N"),"")),"")</f>
        <v>N</v>
      </c>
      <c r="AB39" s="289" t="str">
        <f>IF(AND(OR($C39&lt;&gt;"",$D39&lt;&gt;""),$A39=1,$AI$2="ДА"),(IF($A39=1,IF(AND('Ответы учащихся'!$AF39&lt;&gt;"N",'Ответы учащихся'!$AG39&lt;&gt;"N",'Ответы учащихся'!$AH39&lt;&gt;"N",'Ответы учащихся'!$AI39&lt;&gt;"N"),(SUM('Ответы учащихся'!$AF39:$AI39)),"N"),"")),"")</f>
        <v>N</v>
      </c>
      <c r="AC39" s="468">
        <f t="shared" si="6"/>
        <v>15</v>
      </c>
      <c r="AD39" s="326">
        <f t="shared" si="7"/>
        <v>0.625</v>
      </c>
      <c r="AE39" s="327">
        <f t="shared" si="8"/>
        <v>13</v>
      </c>
      <c r="AF39" s="328">
        <f t="shared" si="9"/>
        <v>72.222222222222214</v>
      </c>
      <c r="AG39" s="327">
        <f t="shared" si="10"/>
        <v>2</v>
      </c>
      <c r="AH39" s="329">
        <f t="shared" si="11"/>
        <v>33.333333333333329</v>
      </c>
      <c r="AI39" s="456" t="str">
        <f t="shared" si="12"/>
        <v>БАЗОВЫЙ</v>
      </c>
      <c r="AJ39" s="446">
        <f t="shared" si="13"/>
        <v>16.614705882352936</v>
      </c>
      <c r="AK39" s="447">
        <f t="shared" si="14"/>
        <v>0.69227941176470575</v>
      </c>
      <c r="AL39" s="445">
        <v>9</v>
      </c>
      <c r="AM39" s="446">
        <f t="shared" si="15"/>
        <v>77.287581699346404</v>
      </c>
      <c r="AN39" s="442">
        <f>IF($A39=1,IF(OR(AND($E39=1,'Ответы учащихся'!W39=0.4),AND($E39=2,'Ответы учащихся'!W39=0.4),AND($E39=3,'Ответы учащихся'!W39=0.4),AND($E39=4,'Ответы учащихся'!W39=0.4)),1,IF('Ответы учащихся'!W39="N",'Ответы учащихся'!W39,0)),"")</f>
        <v>1</v>
      </c>
      <c r="AO39" s="434">
        <f>IF($A39=1,IF(OR(AND($E39=1,'Ответы учащихся'!X39=0.4),AND($E39=2,'Ответы учащихся'!X39=0.4),AND($E39=3,'Ответы учащихся'!X39=0.4),AND($E39=4,'Ответы учащихся'!X39=0.4)),1,IF('Ответы учащихся'!X39="N",'Ответы учащихся'!X39,0)),"")</f>
        <v>1</v>
      </c>
      <c r="AP39" s="434">
        <f>IF($A39=1,IF(OR(AND($E39=1,'Ответы учащихся'!Y39=0.4),AND($E39=2,'Ответы учащихся'!Y39=0.4),AND($E39=3,'Ответы учащихся'!Y39=0.4),AND($E39=4,'Ответы учащихся'!Y39=0.4)),1,IF('Ответы учащихся'!Y39="N",'Ответы учащихся'!Y39,0)),"")</f>
        <v>1</v>
      </c>
      <c r="AQ39" s="434">
        <f>IF($A39=1,IF(OR(AND($E39=1,'Ответы учащихся'!Z39=0.4),AND($E39=2,'Ответы учащихся'!Z39=0.4),AND($E39=3,'Ответы учащихся'!Z39=0.4),AND($E39=4,'Ответы учащихся'!Z39=0.4)),1,IF('Ответы учащихся'!Z39="N",'Ответы учащихся'!Z39,0)),"")</f>
        <v>1</v>
      </c>
      <c r="AR39" s="434">
        <f>IF($A39=1,IF(OR(AND($E39=1,'Ответы учащихся'!AA39=0.4),AND($E39=2,'Ответы учащихся'!AA39=0.4),AND($E39=3,'Ответы учащихся'!AA39=0.4),AND($E39=4,'Ответы учащихся'!AA39=0.4)),1,IF('Ответы учащихся'!AA39="N",'Ответы учащихся'!AA39,0)),"")</f>
        <v>1</v>
      </c>
      <c r="AS39" s="435" t="str">
        <f>IF($A39=1,IF(OR(AND($E39=1,'Ответы учащихся'!AB39=0.5),AND($E39=2,'Ответы учащихся'!AB39=0.5),AND($E39=3,'Ответы учащихся'!AB39=0.5),AND($E39=4,'Ответы учащихся'!AB39=0.5)),1,IF('Ответы учащихся'!AB39="N",'Ответы учащихся'!AB39,0)),"")</f>
        <v>N</v>
      </c>
      <c r="AT39" s="435" t="str">
        <f>IF($A39=1,IF(OR(AND($E39=1,'Ответы учащихся'!AC39=0.5),AND($E39=2,'Ответы учащихся'!AC39=0.5),AND($E39=3,'Ответы учащихся'!AC39=0.5),AND($E39=4,'Ответы учащихся'!AC39=0.5)),1,IF('Ответы учащихся'!AC39="N",'Ответы учащихся'!AC39,0)),"")</f>
        <v>N</v>
      </c>
      <c r="AU39" s="435" t="str">
        <f>IF($A39=1,IF(OR(AND($E39=1,'Ответы учащихся'!AD39=0.5),AND($E39=2,'Ответы учащихся'!AD39=0.5),AND($E39=3,'Ответы учащихся'!AD39=0.5),AND($E39=4,'Ответы учащихся'!AD39=0.5)),1,IF('Ответы учащихся'!AD39="N",'Ответы учащихся'!AD39,0)),"")</f>
        <v>N</v>
      </c>
      <c r="AV39" s="435" t="str">
        <f>IF($A39=1,IF(OR(AND($E39=1,'Ответы учащихся'!AE39=0.5),AND($E39=2,'Ответы учащихся'!AE39=0.5),AND($E39=3,'Ответы учащихся'!AE39=0.5),AND($E39=4,'Ответы учащихся'!AE39=0.5)),1,IF('Ответы учащихся'!AE39="N",'Ответы учащихся'!AE39,0)),"")</f>
        <v>N</v>
      </c>
      <c r="AW39" s="436" t="str">
        <f>IF($A39=1,IF(OR(AND($E39=1,'Ответы учащихся'!AF39=0.5),AND($E39=2,'Ответы учащихся'!AF39=0.5),AND($E39=3,'Ответы учащихся'!AF39=0.5),AND($E39=4,'Ответы учащихся'!AF39=0.5)),1,IF('Ответы учащихся'!AF39="N",'Ответы учащихся'!AF39,0)),"")</f>
        <v>N</v>
      </c>
      <c r="AX39" s="436" t="str">
        <f>IF($A39=1,IF(OR(AND($E39=1,'Ответы учащихся'!AG39=0.5),AND($E39=2,'Ответы учащихся'!AG39=0.5),AND($E39=3,'Ответы учащихся'!AG39=0.5),AND($E39=4,'Ответы учащихся'!AG39=0.5)),1,IF('Ответы учащихся'!AG39="N",'Ответы учащихся'!AG39,0)),"")</f>
        <v>N</v>
      </c>
      <c r="AY39" s="436" t="str">
        <f>IF($A39=1,IF(OR(AND($E39=1,'Ответы учащихся'!AH39=0.5),AND($E39=2,'Ответы учащихся'!AH39=0.5),AND($E39=3,'Ответы учащихся'!AH39=0.5),AND($E39=4,'Ответы учащихся'!AH39=0.5)),1,IF('Ответы учащихся'!AH39="N",'Ответы учащихся'!AH39,0)),"")</f>
        <v>N</v>
      </c>
      <c r="AZ39" s="436" t="str">
        <f>IF($A39=1,IF(OR(AND($E39=1,'Ответы учащихся'!AI39=0.5),AND($E39=2,'Ответы учащихся'!AI39=0.5),AND($E39=3,'Ответы учащихся'!AI39=0.5),AND($E39=4,'Ответы учащихся'!AI39=0.5)),1,IF('Ответы учащихся'!AI39="N",'Ответы учащихся'!AI39,0)),"")</f>
        <v>N</v>
      </c>
      <c r="BA39" s="429"/>
      <c r="BB39" s="429"/>
      <c r="BC39" s="429"/>
      <c r="BD39" s="429"/>
      <c r="BE39" s="419"/>
      <c r="BF39" s="419"/>
      <c r="BG39" s="6"/>
      <c r="BH39" s="6"/>
      <c r="BI39" s="6"/>
      <c r="BJ39" s="6"/>
    </row>
    <row r="40" spans="1:62" ht="12.75" customHeight="1" x14ac:dyDescent="0.2">
      <c r="A40" s="12">
        <f>IF('СПИСОК КЛАССА'!J40&gt;0,1,0)</f>
        <v>1</v>
      </c>
      <c r="B40" s="100">
        <v>21</v>
      </c>
      <c r="C40" s="101">
        <f>IF(NOT(ISBLANK('СПИСОК КЛАССА'!C40)),'СПИСОК КЛАССА'!C40,"")</f>
        <v>21</v>
      </c>
      <c r="D40" s="134" t="str">
        <f>IF(NOT(ISBLANK('СПИСОК КЛАССА'!D40)),IF($A40=1,'СПИСОК КЛАССА'!D40, "УЧЕНИК НЕ ВЫПОЛНЯЛ РАБОТУ"),"")</f>
        <v/>
      </c>
      <c r="E40" s="459">
        <f>IF($C40&lt;&gt;"",'СПИСОК КЛАССА'!J40,"")</f>
        <v>2</v>
      </c>
      <c r="F40" s="133">
        <f>IF(AND(OR($C40&lt;&gt;"",$D40&lt;&gt;""),$A40=1,$AI$2="ДА"),'Ответы учащихся'!E40,"")</f>
        <v>1</v>
      </c>
      <c r="G40" s="102">
        <f>IF(AND(OR($C40&lt;&gt;"",$D40&lt;&gt;""),$A40=1,$AI$2="ДА"),(IF($A40=1,IF(OR(AND($E40=1,'Ответы учащихся'!F40=2),AND($E40=2,'Ответы учащихся'!F40=4),AND($E40=3,OR('Ответы учащихся'!F40=3,'Ответы учащихся'!F40=4)),AND($E40=4,'Ответы учащихся'!F40=1)),1,IF('Ответы учащихся'!F40="N",'Ответы учащихся'!F40,0)),"")),"")</f>
        <v>1</v>
      </c>
      <c r="H40" s="102">
        <f>IF(AND(OR($C40&lt;&gt;"",$D40&lt;&gt;""),$A40=1,$AI$2="ДА"),(IF($A40=1,IF(OR(AND($E40=1,'Ответы учащихся'!G40=1),AND($E40=2,'Ответы учащихся'!G40=3),AND($E40=3,'Ответы учащихся'!G40=3),AND($E40=4,'Ответы учащихся'!G40=3)),1,IF('Ответы учащихся'!G40="N",'Ответы учащихся'!G40,0)),"")),"")</f>
        <v>1</v>
      </c>
      <c r="I40" s="102">
        <f>IF(AND(OR($C40&lt;&gt;"",$D40&lt;&gt;""),$A40=1,$AI$2="ДА"),(IF($A40=1,IF(OR(AND($E40=1,'Ответы учащихся'!H40=-6),AND($E40=2,'Ответы учащихся'!H40=3),AND($E40=3,'Ответы учащихся'!H40=-8),AND($E40=4,'Ответы учащихся'!H40=-6)),1,IF('Ответы учащихся'!H40="N",'Ответы учащихся'!H40,0)),"")),"")</f>
        <v>1</v>
      </c>
      <c r="J40" s="102">
        <f>IF(AND(OR($C40&lt;&gt;"",$D40&lt;&gt;""),$A40=1,$AI$2="ДА"),(IF($A40=1,IF(OR(AND($E40=1,'Ответы учащихся'!I40=3412),AND($E40=2,'Ответы учащихся'!I40=2314),AND($E40=3,'Ответы учащихся'!I40=3142),AND($E40=4,'Ответы учащихся'!I40=1234)),1,IF('Ответы учащихся'!I40="N",'Ответы учащихся'!I40,0)),"")),"")</f>
        <v>0</v>
      </c>
      <c r="K40" s="102">
        <f>IF(AND(OR($C40&lt;&gt;"",$D40&lt;&gt;""),$A40=1,$AI$2="ДА"),(IF($A40=1,IF(OR(AND($E40=1,'Ответы учащихся'!J40=390),AND($E40=2,'Ответы учащихся'!J40=273),AND($E40=3,'Ответы учащихся'!J40=205),AND($E40=4,'Ответы учащихся'!J40=240)),1,IF('Ответы учащихся'!J40="N",'Ответы учащихся'!J40,0)),"")),"")</f>
        <v>0</v>
      </c>
      <c r="L40" s="102">
        <f>IF(AND(OR($C40&lt;&gt;"",$D40&lt;&gt;""),$A40=1,$AI$2="ДА"),(IF($A40=1,IF(OR(AND($E40=1,'Ответы учащихся'!K40=1),AND($E40=2,'Ответы учащихся'!K40=2),AND($E40=3,'Ответы учащихся'!K40=4),AND($E40=4,'Ответы учащихся'!K40=3)),1,IF('Ответы учащихся'!K40="N",'Ответы учащихся'!K40,0)),"")),"")</f>
        <v>1</v>
      </c>
      <c r="M40" s="102">
        <f>IF(AND(OR($C40&lt;&gt;"",$D40&lt;&gt;""),$A40=1,$AI$2="ДА"),(IF($A40=1,IF(OR(AND($E40=1,'Ответы учащихся'!L40=3),AND($E40=2,'Ответы учащихся'!L40=1),AND($E40=3,'Ответы учащихся'!L40=4),AND($E40=4,'Ответы учащихся'!L40=2)),1,IF('Ответы учащихся'!L40="N",'Ответы учащихся'!L40,0)),"")),"")</f>
        <v>1</v>
      </c>
      <c r="N40" s="102">
        <f>IF(AND(OR($C40&lt;&gt;"",$D40&lt;&gt;""),$A40=1,$AI$2="ДА"),'Ответы учащихся'!M40,"")</f>
        <v>0</v>
      </c>
      <c r="O40" s="102">
        <f>IF(AND(OR($C40&lt;&gt;"",$D40&lt;&gt;""),$A40=1,$AI$2="ДА"),(IF($A40=1,IF(OR(AND($E40=1,'Ответы учащихся'!N40=3),AND($E40=2,'Ответы учащихся'!N40=2),AND($E40=3,'Ответы учащихся'!N40=4),AND($E40=4,'Ответы учащихся'!N40=1)),1,IF('Ответы учащихся'!N40="N",'Ответы учащихся'!N40,0)),"")),"")</f>
        <v>1</v>
      </c>
      <c r="P40" s="102">
        <f>IF(AND(OR($C40&lt;&gt;"",$D40&lt;&gt;""),$A40=1,$AI$2="ДА"),(IF($A40=1,IF(OR(AND($E40=1,'Ответы учащихся'!O40="БВ"),AND($E40=2,'Ответы учащихся'!O40="АВГ"),AND($E40=3,'Ответы учащихся'!O40="БВГ"),AND($E40=4,'Ответы учащихся'!O40="АВ")),1,IF('Ответы учащихся'!O40="N",'Ответы учащихся'!O40,0)),"")),"")</f>
        <v>0</v>
      </c>
      <c r="Q40" s="102">
        <f>IF(AND(OR($C40&lt;&gt;"",$D40&lt;&gt;""),$A40=1,$AI$2="ДА"),(IF($A40=1,IF(OR(AND($E40=1,'Ответы учащихся'!P40=2351),AND($E40=2,'Ответы учащихся'!P40=4132),AND($E40=3,'Ответы учащихся'!P40=3412),AND($E40=4,'Ответы учащихся'!P40=3125)),1,IF('Ответы учащихся'!P40="N",'Ответы учащихся'!P40,0)),"")),"")</f>
        <v>1</v>
      </c>
      <c r="R40" s="102">
        <f>IF(AND(OR($C40&lt;&gt;"",$D40&lt;&gt;""),$A40=1,$AI$2="ДА"),(IF($A40=1,IF(OR(AND($E40=1,'Ответы учащихся'!Q40=2),AND($E40=2,'Ответы учащихся'!Q40=9),AND($E40=3,'Ответы учащихся'!Q40=5),AND($E40=4,'Ответы учащихся'!Q40=2)),1,IF('Ответы учащихся'!Q40="N",'Ответы учащихся'!Q40,0)),"")),"")</f>
        <v>1</v>
      </c>
      <c r="S40" s="102">
        <f>IF(AND(OR($C40&lt;&gt;"",$D40&lt;&gt;""),$A40=1,$AI$2="ДА"),(IF($A40=1,IF(OR(AND($E40=1,'Ответы учащихся'!R40=35),AND($E40=2,'Ответы учащихся'!R40=74),AND($E40=3,'Ответы учащихся'!R40=72),AND($E40=4,'Ответы учащихся'!R40=66)),1,IF('Ответы учащихся'!R40="N",'Ответы учащихся'!R40,0)),"")),"")</f>
        <v>1</v>
      </c>
      <c r="T40" s="102">
        <f>IF(AND(OR($C40&lt;&gt;"",$D40&lt;&gt;""),$A40=1,$AI$2="ДА"),(IF($A40=1,IF(OR(AND($E40=1,'Ответы учащихся'!S40=60),AND($E40=2,'Ответы учащихся'!S40=40),AND($E40=3,'Ответы учащихся'!S40=30),AND($E40=4,'Ответы учащихся'!S40=18)),1,IF('Ответы учащихся'!S40="N",'Ответы учащихся'!S40,0)),"")),"")</f>
        <v>0</v>
      </c>
      <c r="U40" s="102">
        <f>IF(AND(OR($C40&lt;&gt;"",$D40&lt;&gt;""),$A40=1,$AI$2="ДА"),(IF($A40=1,IF(OR(AND($E40=1,'Ответы учащихся'!T40=3),AND($E40=2,'Ответы учащихся'!T40=4),AND($E40=3,'Ответы учащихся'!T40=2),AND($E40=4,'Ответы учащихся'!T40=3)),1,IF('Ответы учащихся'!T40="N",'Ответы учащихся'!T40,0)),"")),"")</f>
        <v>1</v>
      </c>
      <c r="V40" s="102">
        <f>IF(AND(OR($C40&lt;&gt;"",$D40&lt;&gt;""),$A40=1,$AI$2="ДА"),(IF($A40=1,IF(OR(AND($E40=1,'Ответы учащихся'!U40=11),AND($E40=2,'Ответы учащихся'!U40=14),AND($E40=3,'Ответы учащихся'!U40=-2),AND($E40=4,'Ответы учащихся'!U40=25)),1,IF('Ответы учащихся'!U40="N",'Ответы учащихся'!U40,0)),"")),"")</f>
        <v>1</v>
      </c>
      <c r="W40" s="102">
        <f>IF(AND(OR($C40&lt;&gt;"",$D40&lt;&gt;""),$A40=1,$AI$2="ДА"),(IF($A40=1,IF(OR(AND($E40=1,'Ответы учащихся'!V40=3000),AND($E40=2,'Ответы учащихся'!V40=2500),AND($E40=3,'Ответы учащихся'!V40=1500),AND($E40=4,'Ответы учащихся'!V40=1500)),1,IF('Ответы учащихся'!V40="N",'Ответы учащихся'!V40,0)),"")),"")</f>
        <v>1</v>
      </c>
      <c r="X40" s="102"/>
      <c r="Y40" s="102">
        <f>IF(AND(OR($C40&lt;&gt;"",$D40&lt;&gt;""),$A40=1,$AI$2="ДА"),(IF($A40=1,IF(AND('Ответы учащихся'!$W40&lt;&gt;"N",'Ответы учащихся'!$X40&lt;&gt;"N",'Ответы учащихся'!$Y40&lt;&gt;"N",'Ответы учащихся'!$Z40&lt;&gt;"N",'Ответы учащихся'!$AA40&lt;&gt;"N"),(SUM('Ответы учащихся'!$W40:$AA40)),"N"),"")),"")</f>
        <v>0.4</v>
      </c>
      <c r="Z40" s="102"/>
      <c r="AA40" s="102">
        <f>IF(AND(OR($C40&lt;&gt;"",$D40&lt;&gt;""),$A40=1,$AI$2="ДА"),(IF($A40=1,IF(AND('Ответы учащихся'!$AB40&lt;&gt;"N",'Ответы учащихся'!$AC40&lt;&gt;"N",'Ответы учащихся'!$AD40&lt;&gt;"N",'Ответы учащихся'!$AE40&lt;&gt;"N"),(SUM('Ответы учащихся'!$AB40:$AE40)),"N"),"")),"")</f>
        <v>2</v>
      </c>
      <c r="AB40" s="289" t="str">
        <f>IF(AND(OR($C40&lt;&gt;"",$D40&lt;&gt;""),$A40=1,$AI$2="ДА"),(IF($A40=1,IF(AND('Ответы учащихся'!$AF40&lt;&gt;"N",'Ответы учащихся'!$AG40&lt;&gt;"N",'Ответы учащихся'!$AH40&lt;&gt;"N",'Ответы учащихся'!$AI40&lt;&gt;"N"),(SUM('Ответы учащихся'!$AF40:$AI40)),"N"),"")),"")</f>
        <v>N</v>
      </c>
      <c r="AC40" s="468">
        <f t="shared" si="6"/>
        <v>15.4</v>
      </c>
      <c r="AD40" s="326">
        <f t="shared" si="7"/>
        <v>0.64166666666666672</v>
      </c>
      <c r="AE40" s="327">
        <f t="shared" si="8"/>
        <v>13</v>
      </c>
      <c r="AF40" s="328">
        <f t="shared" si="9"/>
        <v>72.222222222222214</v>
      </c>
      <c r="AG40" s="327">
        <f t="shared" si="10"/>
        <v>2.4</v>
      </c>
      <c r="AH40" s="329">
        <f t="shared" si="11"/>
        <v>40</v>
      </c>
      <c r="AI40" s="456" t="str">
        <f t="shared" si="12"/>
        <v>БАЗОВЫЙ</v>
      </c>
      <c r="AJ40" s="446">
        <f t="shared" si="13"/>
        <v>16.614705882352936</v>
      </c>
      <c r="AK40" s="447">
        <f t="shared" si="14"/>
        <v>0.69227941176470575</v>
      </c>
      <c r="AL40" s="445">
        <v>9</v>
      </c>
      <c r="AM40" s="446">
        <f t="shared" si="15"/>
        <v>77.287581699346404</v>
      </c>
      <c r="AN40" s="442">
        <f>IF($A40=1,IF(OR(AND($E40=1,'Ответы учащихся'!W40=0.4),AND($E40=2,'Ответы учащихся'!W40=0.4),AND($E40=3,'Ответы учащихся'!W40=0.4),AND($E40=4,'Ответы учащихся'!W40=0.4)),1,IF('Ответы учащихся'!W40="N",'Ответы учащихся'!W40,0)),"")</f>
        <v>1</v>
      </c>
      <c r="AO40" s="434">
        <f>IF($A40=1,IF(OR(AND($E40=1,'Ответы учащихся'!X40=0.4),AND($E40=2,'Ответы учащихся'!X40=0.4),AND($E40=3,'Ответы учащихся'!X40=0.4),AND($E40=4,'Ответы учащихся'!X40=0.4)),1,IF('Ответы учащихся'!X40="N",'Ответы учащихся'!X40,0)),"")</f>
        <v>0</v>
      </c>
      <c r="AP40" s="434">
        <f>IF($A40=1,IF(OR(AND($E40=1,'Ответы учащихся'!Y40=0.4),AND($E40=2,'Ответы учащихся'!Y40=0.4),AND($E40=3,'Ответы учащихся'!Y40=0.4),AND($E40=4,'Ответы учащихся'!Y40=0.4)),1,IF('Ответы учащихся'!Y40="N",'Ответы учащихся'!Y40,0)),"")</f>
        <v>0</v>
      </c>
      <c r="AQ40" s="434">
        <f>IF($A40=1,IF(OR(AND($E40=1,'Ответы учащихся'!Z40=0.4),AND($E40=2,'Ответы учащихся'!Z40=0.4),AND($E40=3,'Ответы учащихся'!Z40=0.4),AND($E40=4,'Ответы учащихся'!Z40=0.4)),1,IF('Ответы учащихся'!Z40="N",'Ответы учащихся'!Z40,0)),"")</f>
        <v>0</v>
      </c>
      <c r="AR40" s="434">
        <f>IF($A40=1,IF(OR(AND($E40=1,'Ответы учащихся'!AA40=0.4),AND($E40=2,'Ответы учащихся'!AA40=0.4),AND($E40=3,'Ответы учащихся'!AA40=0.4),AND($E40=4,'Ответы учащихся'!AA40=0.4)),1,IF('Ответы учащихся'!AA40="N",'Ответы учащихся'!AA40,0)),"")</f>
        <v>0</v>
      </c>
      <c r="AS40" s="435">
        <f>IF($A40=1,IF(OR(AND($E40=1,'Ответы учащихся'!AB40=0.5),AND($E40=2,'Ответы учащихся'!AB40=0.5),AND($E40=3,'Ответы учащихся'!AB40=0.5),AND($E40=4,'Ответы учащихся'!AB40=0.5)),1,IF('Ответы учащихся'!AB40="N",'Ответы учащихся'!AB40,0)),"")</f>
        <v>1</v>
      </c>
      <c r="AT40" s="435">
        <f>IF($A40=1,IF(OR(AND($E40=1,'Ответы учащихся'!AC40=0.5),AND($E40=2,'Ответы учащихся'!AC40=0.5),AND($E40=3,'Ответы учащихся'!AC40=0.5),AND($E40=4,'Ответы учащихся'!AC40=0.5)),1,IF('Ответы учащихся'!AC40="N",'Ответы учащихся'!AC40,0)),"")</f>
        <v>1</v>
      </c>
      <c r="AU40" s="435">
        <f>IF($A40=1,IF(OR(AND($E40=1,'Ответы учащихся'!AD40=0.5),AND($E40=2,'Ответы учащихся'!AD40=0.5),AND($E40=3,'Ответы учащихся'!AD40=0.5),AND($E40=4,'Ответы учащихся'!AD40=0.5)),1,IF('Ответы учащихся'!AD40="N",'Ответы учащихся'!AD40,0)),"")</f>
        <v>1</v>
      </c>
      <c r="AV40" s="435">
        <f>IF($A40=1,IF(OR(AND($E40=1,'Ответы учащихся'!AE40=0.5),AND($E40=2,'Ответы учащихся'!AE40=0.5),AND($E40=3,'Ответы учащихся'!AE40=0.5),AND($E40=4,'Ответы учащихся'!AE40=0.5)),1,IF('Ответы учащихся'!AE40="N",'Ответы учащихся'!AE40,0)),"")</f>
        <v>1</v>
      </c>
      <c r="AW40" s="436" t="str">
        <f>IF($A40=1,IF(OR(AND($E40=1,'Ответы учащихся'!AF40=0.5),AND($E40=2,'Ответы учащихся'!AF40=0.5),AND($E40=3,'Ответы учащихся'!AF40=0.5),AND($E40=4,'Ответы учащихся'!AF40=0.5)),1,IF('Ответы учащихся'!AF40="N",'Ответы учащихся'!AF40,0)),"")</f>
        <v>N</v>
      </c>
      <c r="AX40" s="436" t="str">
        <f>IF($A40=1,IF(OR(AND($E40=1,'Ответы учащихся'!AG40=0.5),AND($E40=2,'Ответы учащихся'!AG40=0.5),AND($E40=3,'Ответы учащихся'!AG40=0.5),AND($E40=4,'Ответы учащихся'!AG40=0.5)),1,IF('Ответы учащихся'!AG40="N",'Ответы учащихся'!AG40,0)),"")</f>
        <v>N</v>
      </c>
      <c r="AY40" s="436" t="str">
        <f>IF($A40=1,IF(OR(AND($E40=1,'Ответы учащихся'!AH40=0.5),AND($E40=2,'Ответы учащихся'!AH40=0.5),AND($E40=3,'Ответы учащихся'!AH40=0.5),AND($E40=4,'Ответы учащихся'!AH40=0.5)),1,IF('Ответы учащихся'!AH40="N",'Ответы учащихся'!AH40,0)),"")</f>
        <v>N</v>
      </c>
      <c r="AZ40" s="436" t="str">
        <f>IF($A40=1,IF(OR(AND($E40=1,'Ответы учащихся'!AI40=0.5),AND($E40=2,'Ответы учащихся'!AI40=0.5),AND($E40=3,'Ответы учащихся'!AI40=0.5),AND($E40=4,'Ответы учащихся'!AI40=0.5)),1,IF('Ответы учащихся'!AI40="N",'Ответы учащихся'!AI40,0)),"")</f>
        <v>N</v>
      </c>
      <c r="BA40" s="429"/>
      <c r="BB40" s="429"/>
      <c r="BC40" s="429"/>
      <c r="BD40" s="429"/>
      <c r="BE40" s="419"/>
      <c r="BF40" s="419"/>
      <c r="BG40" s="6"/>
      <c r="BH40" s="6"/>
      <c r="BI40" s="6"/>
      <c r="BJ40" s="6"/>
    </row>
    <row r="41" spans="1:62" ht="12.75" customHeight="1" x14ac:dyDescent="0.2">
      <c r="A41" s="12">
        <f>IF('СПИСОК КЛАССА'!J41&gt;0,1,0)</f>
        <v>1</v>
      </c>
      <c r="B41" s="100">
        <v>22</v>
      </c>
      <c r="C41" s="101">
        <f>IF(NOT(ISBLANK('СПИСОК КЛАССА'!C41)),'СПИСОК КЛАССА'!C41,"")</f>
        <v>22</v>
      </c>
      <c r="D41" s="134" t="str">
        <f>IF(NOT(ISBLANK('СПИСОК КЛАССА'!D41)),IF($A41=1,'СПИСОК КЛАССА'!D41, "УЧЕНИК НЕ ВЫПОЛНЯЛ РАБОТУ"),"")</f>
        <v/>
      </c>
      <c r="E41" s="459">
        <f>IF($C41&lt;&gt;"",'СПИСОК КЛАССА'!J41,"")</f>
        <v>4</v>
      </c>
      <c r="F41" s="133">
        <f>IF(AND(OR($C41&lt;&gt;"",$D41&lt;&gt;""),$A41=1,$AI$2="ДА"),'Ответы учащихся'!E41,"")</f>
        <v>1</v>
      </c>
      <c r="G41" s="102">
        <f>IF(AND(OR($C41&lt;&gt;"",$D41&lt;&gt;""),$A41=1,$AI$2="ДА"),(IF($A41=1,IF(OR(AND($E41=1,'Ответы учащихся'!F41=2),AND($E41=2,'Ответы учащихся'!F41=4),AND($E41=3,OR('Ответы учащихся'!F41=3,'Ответы учащихся'!F41=4)),AND($E41=4,'Ответы учащихся'!F41=1)),1,IF('Ответы учащихся'!F41="N",'Ответы учащихся'!F41,0)),"")),"")</f>
        <v>1</v>
      </c>
      <c r="H41" s="102">
        <f>IF(AND(OR($C41&lt;&gt;"",$D41&lt;&gt;""),$A41=1,$AI$2="ДА"),(IF($A41=1,IF(OR(AND($E41=1,'Ответы учащихся'!G41=1),AND($E41=2,'Ответы учащихся'!G41=3),AND($E41=3,'Ответы учащихся'!G41=3),AND($E41=4,'Ответы учащихся'!G41=3)),1,IF('Ответы учащихся'!G41="N",'Ответы учащихся'!G41,0)),"")),"")</f>
        <v>1</v>
      </c>
      <c r="I41" s="102">
        <f>IF(AND(OR($C41&lt;&gt;"",$D41&lt;&gt;""),$A41=1,$AI$2="ДА"),(IF($A41=1,IF(OR(AND($E41=1,'Ответы учащихся'!H41=-6),AND($E41=2,'Ответы учащихся'!H41=3),AND($E41=3,'Ответы учащихся'!H41=-8),AND($E41=4,'Ответы учащихся'!H41=-6)),1,IF('Ответы учащихся'!H41="N",'Ответы учащихся'!H41,0)),"")),"")</f>
        <v>1</v>
      </c>
      <c r="J41" s="102">
        <f>IF(AND(OR($C41&lt;&gt;"",$D41&lt;&gt;""),$A41=1,$AI$2="ДА"),(IF($A41=1,IF(OR(AND($E41=1,'Ответы учащихся'!I41=3412),AND($E41=2,'Ответы учащихся'!I41=2314),AND($E41=3,'Ответы учащихся'!I41=3142),AND($E41=4,'Ответы учащихся'!I41=1234)),1,IF('Ответы учащихся'!I41="N",'Ответы учащихся'!I41,0)),"")),"")</f>
        <v>1</v>
      </c>
      <c r="K41" s="102">
        <f>IF(AND(OR($C41&lt;&gt;"",$D41&lt;&gt;""),$A41=1,$AI$2="ДА"),(IF($A41=1,IF(OR(AND($E41=1,'Ответы учащихся'!J41=390),AND($E41=2,'Ответы учащихся'!J41=273),AND($E41=3,'Ответы учащихся'!J41=205),AND($E41=4,'Ответы учащихся'!J41=240)),1,IF('Ответы учащихся'!J41="N",'Ответы учащихся'!J41,0)),"")),"")</f>
        <v>1</v>
      </c>
      <c r="L41" s="102">
        <f>IF(AND(OR($C41&lt;&gt;"",$D41&lt;&gt;""),$A41=1,$AI$2="ДА"),(IF($A41=1,IF(OR(AND($E41=1,'Ответы учащихся'!K41=1),AND($E41=2,'Ответы учащихся'!K41=2),AND($E41=3,'Ответы учащихся'!K41=4),AND($E41=4,'Ответы учащихся'!K41=3)),1,IF('Ответы учащихся'!K41="N",'Ответы учащихся'!K41,0)),"")),"")</f>
        <v>1</v>
      </c>
      <c r="M41" s="102">
        <f>IF(AND(OR($C41&lt;&gt;"",$D41&lt;&gt;""),$A41=1,$AI$2="ДА"),(IF($A41=1,IF(OR(AND($E41=1,'Ответы учащихся'!L41=3),AND($E41=2,'Ответы учащихся'!L41=1),AND($E41=3,'Ответы учащихся'!L41=4),AND($E41=4,'Ответы учащихся'!L41=2)),1,IF('Ответы учащихся'!L41="N",'Ответы учащихся'!L41,0)),"")),"")</f>
        <v>1</v>
      </c>
      <c r="N41" s="102">
        <f>IF(AND(OR($C41&lt;&gt;"",$D41&lt;&gt;""),$A41=1,$AI$2="ДА"),'Ответы учащихся'!M41,"")</f>
        <v>0</v>
      </c>
      <c r="O41" s="102">
        <f>IF(AND(OR($C41&lt;&gt;"",$D41&lt;&gt;""),$A41=1,$AI$2="ДА"),(IF($A41=1,IF(OR(AND($E41=1,'Ответы учащихся'!N41=3),AND($E41=2,'Ответы учащихся'!N41=2),AND($E41=3,'Ответы учащихся'!N41=4),AND($E41=4,'Ответы учащихся'!N41=1)),1,IF('Ответы учащихся'!N41="N",'Ответы учащихся'!N41,0)),"")),"")</f>
        <v>1</v>
      </c>
      <c r="P41" s="102">
        <f>IF(AND(OR($C41&lt;&gt;"",$D41&lt;&gt;""),$A41=1,$AI$2="ДА"),(IF($A41=1,IF(OR(AND($E41=1,'Ответы учащихся'!O41="БВ"),AND($E41=2,'Ответы учащихся'!O41="АВГ"),AND($E41=3,'Ответы учащихся'!O41="БВГ"),AND($E41=4,'Ответы учащихся'!O41="АВ")),1,IF('Ответы учащихся'!O41="N",'Ответы учащихся'!O41,0)),"")),"")</f>
        <v>1</v>
      </c>
      <c r="Q41" s="102">
        <f>IF(AND(OR($C41&lt;&gt;"",$D41&lt;&gt;""),$A41=1,$AI$2="ДА"),(IF($A41=1,IF(OR(AND($E41=1,'Ответы учащихся'!P41=2351),AND($E41=2,'Ответы учащихся'!P41=4132),AND($E41=3,'Ответы учащихся'!P41=3412),AND($E41=4,'Ответы учащихся'!P41=3125)),1,IF('Ответы учащихся'!P41="N",'Ответы учащихся'!P41,0)),"")),"")</f>
        <v>0</v>
      </c>
      <c r="R41" s="102">
        <f>IF(AND(OR($C41&lt;&gt;"",$D41&lt;&gt;""),$A41=1,$AI$2="ДА"),(IF($A41=1,IF(OR(AND($E41=1,'Ответы учащихся'!Q41=2),AND($E41=2,'Ответы учащихся'!Q41=9),AND($E41=3,'Ответы учащихся'!Q41=5),AND($E41=4,'Ответы учащихся'!Q41=2)),1,IF('Ответы учащихся'!Q41="N",'Ответы учащихся'!Q41,0)),"")),"")</f>
        <v>0</v>
      </c>
      <c r="S41" s="102" t="str">
        <f>IF(AND(OR($C41&lt;&gt;"",$D41&lt;&gt;""),$A41=1,$AI$2="ДА"),(IF($A41=1,IF(OR(AND($E41=1,'Ответы учащихся'!R41=35),AND($E41=2,'Ответы учащихся'!R41=74),AND($E41=3,'Ответы учащихся'!R41=72),AND($E41=4,'Ответы учащихся'!R41=66)),1,IF('Ответы учащихся'!R41="N",'Ответы учащихся'!R41,0)),"")),"")</f>
        <v>N</v>
      </c>
      <c r="T41" s="102">
        <f>IF(AND(OR($C41&lt;&gt;"",$D41&lt;&gt;""),$A41=1,$AI$2="ДА"),(IF($A41=1,IF(OR(AND($E41=1,'Ответы учащихся'!S41=60),AND($E41=2,'Ответы учащихся'!S41=40),AND($E41=3,'Ответы учащихся'!S41=30),AND($E41=4,'Ответы учащихся'!S41=18)),1,IF('Ответы учащихся'!S41="N",'Ответы учащихся'!S41,0)),"")),"")</f>
        <v>0</v>
      </c>
      <c r="U41" s="102" t="str">
        <f>IF(AND(OR($C41&lt;&gt;"",$D41&lt;&gt;""),$A41=1,$AI$2="ДА"),(IF($A41=1,IF(OR(AND($E41=1,'Ответы учащихся'!T41=3),AND($E41=2,'Ответы учащихся'!T41=4),AND($E41=3,'Ответы учащихся'!T41=2),AND($E41=4,'Ответы учащихся'!T41=3)),1,IF('Ответы учащихся'!T41="N",'Ответы учащихся'!T41,0)),"")),"")</f>
        <v>N</v>
      </c>
      <c r="V41" s="102">
        <f>IF(AND(OR($C41&lt;&gt;"",$D41&lt;&gt;""),$A41=1,$AI$2="ДА"),(IF($A41=1,IF(OR(AND($E41=1,'Ответы учащихся'!U41=11),AND($E41=2,'Ответы учащихся'!U41=14),AND($E41=3,'Ответы учащихся'!U41=-2),AND($E41=4,'Ответы учащихся'!U41=25)),1,IF('Ответы учащихся'!U41="N",'Ответы учащихся'!U41,0)),"")),"")</f>
        <v>1</v>
      </c>
      <c r="W41" s="102">
        <f>IF(AND(OR($C41&lt;&gt;"",$D41&lt;&gt;""),$A41=1,$AI$2="ДА"),(IF($A41=1,IF(OR(AND($E41=1,'Ответы учащихся'!V41=3000),AND($E41=2,'Ответы учащихся'!V41=2500),AND($E41=3,'Ответы учащихся'!V41=1500),AND($E41=4,'Ответы учащихся'!V41=1500)),1,IF('Ответы учащихся'!V41="N",'Ответы учащихся'!V41,0)),"")),"")</f>
        <v>1</v>
      </c>
      <c r="X41" s="102"/>
      <c r="Y41" s="102">
        <f>IF(AND(OR($C41&lt;&gt;"",$D41&lt;&gt;""),$A41=1,$AI$2="ДА"),(IF($A41=1,IF(AND('Ответы учащихся'!$W41&lt;&gt;"N",'Ответы учащихся'!$X41&lt;&gt;"N",'Ответы учащихся'!$Y41&lt;&gt;"N",'Ответы учащихся'!$Z41&lt;&gt;"N",'Ответы учащихся'!$AA41&lt;&gt;"N"),(SUM('Ответы учащихся'!$W41:$AA41)),"N"),"")),"")</f>
        <v>0.8</v>
      </c>
      <c r="Z41" s="102"/>
      <c r="AA41" s="102">
        <f>IF(AND(OR($C41&lt;&gt;"",$D41&lt;&gt;""),$A41=1,$AI$2="ДА"),(IF($A41=1,IF(AND('Ответы учащихся'!$AB41&lt;&gt;"N",'Ответы учащихся'!$AC41&lt;&gt;"N",'Ответы учащихся'!$AD41&lt;&gt;"N",'Ответы учащихся'!$AE41&lt;&gt;"N"),(SUM('Ответы учащихся'!$AB41:$AE41)),"N"),"")),"")</f>
        <v>2</v>
      </c>
      <c r="AB41" s="289">
        <f>IF(AND(OR($C41&lt;&gt;"",$D41&lt;&gt;""),$A41=1,$AI$2="ДА"),(IF($A41=1,IF(AND('Ответы учащихся'!$AF41&lt;&gt;"N",'Ответы учащихся'!$AG41&lt;&gt;"N",'Ответы учащихся'!$AH41&lt;&gt;"N",'Ответы учащихся'!$AI41&lt;&gt;"N"),(SUM('Ответы учащихся'!$AF41:$AI41)),"N"),"")),"")</f>
        <v>2</v>
      </c>
      <c r="AC41" s="468">
        <f t="shared" si="6"/>
        <v>16.8</v>
      </c>
      <c r="AD41" s="326">
        <f t="shared" si="7"/>
        <v>0.70000000000000007</v>
      </c>
      <c r="AE41" s="327">
        <f t="shared" si="8"/>
        <v>12</v>
      </c>
      <c r="AF41" s="328">
        <f t="shared" si="9"/>
        <v>66.666666666666657</v>
      </c>
      <c r="AG41" s="327">
        <f t="shared" si="10"/>
        <v>4.8</v>
      </c>
      <c r="AH41" s="329">
        <f t="shared" si="11"/>
        <v>80</v>
      </c>
      <c r="AI41" s="456" t="str">
        <f t="shared" si="12"/>
        <v>БАЗОВЫЙ</v>
      </c>
      <c r="AJ41" s="446">
        <f t="shared" si="13"/>
        <v>16.614705882352936</v>
      </c>
      <c r="AK41" s="447">
        <f t="shared" si="14"/>
        <v>0.69227941176470575</v>
      </c>
      <c r="AL41" s="445">
        <v>9</v>
      </c>
      <c r="AM41" s="446">
        <f t="shared" si="15"/>
        <v>77.287581699346404</v>
      </c>
      <c r="AN41" s="442">
        <f>IF($A41=1,IF(OR(AND($E41=1,'Ответы учащихся'!W41=0.4),AND($E41=2,'Ответы учащихся'!W41=0.4),AND($E41=3,'Ответы учащихся'!W41=0.4),AND($E41=4,'Ответы учащихся'!W41=0.4)),1,IF('Ответы учащихся'!W41="N",'Ответы учащихся'!W41,0)),"")</f>
        <v>1</v>
      </c>
      <c r="AO41" s="434">
        <f>IF($A41=1,IF(OR(AND($E41=1,'Ответы учащихся'!X41=0.4),AND($E41=2,'Ответы учащихся'!X41=0.4),AND($E41=3,'Ответы учащихся'!X41=0.4),AND($E41=4,'Ответы учащихся'!X41=0.4)),1,IF('Ответы учащихся'!X41="N",'Ответы учащихся'!X41,0)),"")</f>
        <v>1</v>
      </c>
      <c r="AP41" s="434">
        <f>IF($A41=1,IF(OR(AND($E41=1,'Ответы учащихся'!Y41=0.4),AND($E41=2,'Ответы учащихся'!Y41=0.4),AND($E41=3,'Ответы учащихся'!Y41=0.4),AND($E41=4,'Ответы учащихся'!Y41=0.4)),1,IF('Ответы учащихся'!Y41="N",'Ответы учащихся'!Y41,0)),"")</f>
        <v>0</v>
      </c>
      <c r="AQ41" s="434">
        <f>IF($A41=1,IF(OR(AND($E41=1,'Ответы учащихся'!Z41=0.4),AND($E41=2,'Ответы учащихся'!Z41=0.4),AND($E41=3,'Ответы учащихся'!Z41=0.4),AND($E41=4,'Ответы учащихся'!Z41=0.4)),1,IF('Ответы учащихся'!Z41="N",'Ответы учащихся'!Z41,0)),"")</f>
        <v>0</v>
      </c>
      <c r="AR41" s="434">
        <f>IF($A41=1,IF(OR(AND($E41=1,'Ответы учащихся'!AA41=0.4),AND($E41=2,'Ответы учащихся'!AA41=0.4),AND($E41=3,'Ответы учащихся'!AA41=0.4),AND($E41=4,'Ответы учащихся'!AA41=0.4)),1,IF('Ответы учащихся'!AA41="N",'Ответы учащихся'!AA41,0)),"")</f>
        <v>0</v>
      </c>
      <c r="AS41" s="435">
        <f>IF($A41=1,IF(OR(AND($E41=1,'Ответы учащихся'!AB41=0.5),AND($E41=2,'Ответы учащихся'!AB41=0.5),AND($E41=3,'Ответы учащихся'!AB41=0.5),AND($E41=4,'Ответы учащихся'!AB41=0.5)),1,IF('Ответы учащихся'!AB41="N",'Ответы учащихся'!AB41,0)),"")</f>
        <v>1</v>
      </c>
      <c r="AT41" s="435">
        <f>IF($A41=1,IF(OR(AND($E41=1,'Ответы учащихся'!AC41=0.5),AND($E41=2,'Ответы учащихся'!AC41=0.5),AND($E41=3,'Ответы учащихся'!AC41=0.5),AND($E41=4,'Ответы учащихся'!AC41=0.5)),1,IF('Ответы учащихся'!AC41="N",'Ответы учащихся'!AC41,0)),"")</f>
        <v>1</v>
      </c>
      <c r="AU41" s="435">
        <f>IF($A41=1,IF(OR(AND($E41=1,'Ответы учащихся'!AD41=0.5),AND($E41=2,'Ответы учащихся'!AD41=0.5),AND($E41=3,'Ответы учащихся'!AD41=0.5),AND($E41=4,'Ответы учащихся'!AD41=0.5)),1,IF('Ответы учащихся'!AD41="N",'Ответы учащихся'!AD41,0)),"")</f>
        <v>1</v>
      </c>
      <c r="AV41" s="435">
        <f>IF($A41=1,IF(OR(AND($E41=1,'Ответы учащихся'!AE41=0.5),AND($E41=2,'Ответы учащихся'!AE41=0.5),AND($E41=3,'Ответы учащихся'!AE41=0.5),AND($E41=4,'Ответы учащихся'!AE41=0.5)),1,IF('Ответы учащихся'!AE41="N",'Ответы учащихся'!AE41,0)),"")</f>
        <v>1</v>
      </c>
      <c r="AW41" s="436">
        <f>IF($A41=1,IF(OR(AND($E41=1,'Ответы учащихся'!AF41=0.5),AND($E41=2,'Ответы учащихся'!AF41=0.5),AND($E41=3,'Ответы учащихся'!AF41=0.5),AND($E41=4,'Ответы учащихся'!AF41=0.5)),1,IF('Ответы учащихся'!AF41="N",'Ответы учащихся'!AF41,0)),"")</f>
        <v>1</v>
      </c>
      <c r="AX41" s="436">
        <f>IF($A41=1,IF(OR(AND($E41=1,'Ответы учащихся'!AG41=0.5),AND($E41=2,'Ответы учащихся'!AG41=0.5),AND($E41=3,'Ответы учащихся'!AG41=0.5),AND($E41=4,'Ответы учащихся'!AG41=0.5)),1,IF('Ответы учащихся'!AG41="N",'Ответы учащихся'!AG41,0)),"")</f>
        <v>1</v>
      </c>
      <c r="AY41" s="436">
        <f>IF($A41=1,IF(OR(AND($E41=1,'Ответы учащихся'!AH41=0.5),AND($E41=2,'Ответы учащихся'!AH41=0.5),AND($E41=3,'Ответы учащихся'!AH41=0.5),AND($E41=4,'Ответы учащихся'!AH41=0.5)),1,IF('Ответы учащихся'!AH41="N",'Ответы учащихся'!AH41,0)),"")</f>
        <v>1</v>
      </c>
      <c r="AZ41" s="436">
        <f>IF($A41=1,IF(OR(AND($E41=1,'Ответы учащихся'!AI41=0.5),AND($E41=2,'Ответы учащихся'!AI41=0.5),AND($E41=3,'Ответы учащихся'!AI41=0.5),AND($E41=4,'Ответы учащихся'!AI41=0.5)),1,IF('Ответы учащихся'!AI41="N",'Ответы учащихся'!AI41,0)),"")</f>
        <v>1</v>
      </c>
      <c r="BA41" s="429"/>
      <c r="BB41" s="429"/>
      <c r="BC41" s="429"/>
      <c r="BD41" s="429"/>
      <c r="BE41" s="419"/>
      <c r="BF41" s="419"/>
      <c r="BG41" s="6"/>
      <c r="BH41" s="6"/>
      <c r="BI41" s="6"/>
      <c r="BJ41" s="6"/>
    </row>
    <row r="42" spans="1:62" ht="12.75" customHeight="1" x14ac:dyDescent="0.2">
      <c r="A42" s="12">
        <f>IF('СПИСОК КЛАССА'!J42&gt;0,1,0)</f>
        <v>1</v>
      </c>
      <c r="B42" s="100">
        <v>23</v>
      </c>
      <c r="C42" s="101">
        <f>IF(NOT(ISBLANK('СПИСОК КЛАССА'!C42)),'СПИСОК КЛАССА'!C42,"")</f>
        <v>23</v>
      </c>
      <c r="D42" s="134" t="str">
        <f>IF(NOT(ISBLANK('СПИСОК КЛАССА'!D42)),IF($A42=1,'СПИСОК КЛАССА'!D42, "УЧЕНИК НЕ ВЫПОЛНЯЛ РАБОТУ"),"")</f>
        <v/>
      </c>
      <c r="E42" s="459">
        <f>IF($C42&lt;&gt;"",'СПИСОК КЛАССА'!J42,"")</f>
        <v>1</v>
      </c>
      <c r="F42" s="133">
        <f>IF(AND(OR($C42&lt;&gt;"",$D42&lt;&gt;""),$A42=1,$AI$2="ДА"),'Ответы учащихся'!E42,"")</f>
        <v>0</v>
      </c>
      <c r="G42" s="102">
        <f>IF(AND(OR($C42&lt;&gt;"",$D42&lt;&gt;""),$A42=1,$AI$2="ДА"),(IF($A42=1,IF(OR(AND($E42=1,'Ответы учащихся'!F42=2),AND($E42=2,'Ответы учащихся'!F42=4),AND($E42=3,OR('Ответы учащихся'!F42=3,'Ответы учащихся'!F42=4)),AND($E42=4,'Ответы учащихся'!F42=1)),1,IF('Ответы учащихся'!F42="N",'Ответы учащихся'!F42,0)),"")),"")</f>
        <v>1</v>
      </c>
      <c r="H42" s="102">
        <f>IF(AND(OR($C42&lt;&gt;"",$D42&lt;&gt;""),$A42=1,$AI$2="ДА"),(IF($A42=1,IF(OR(AND($E42=1,'Ответы учащихся'!G42=1),AND($E42=2,'Ответы учащихся'!G42=3),AND($E42=3,'Ответы учащихся'!G42=3),AND($E42=4,'Ответы учащихся'!G42=3)),1,IF('Ответы учащихся'!G42="N",'Ответы учащихся'!G42,0)),"")),"")</f>
        <v>1</v>
      </c>
      <c r="I42" s="102">
        <f>IF(AND(OR($C42&lt;&gt;"",$D42&lt;&gt;""),$A42=1,$AI$2="ДА"),(IF($A42=1,IF(OR(AND($E42=1,'Ответы учащихся'!H42=-6),AND($E42=2,'Ответы учащихся'!H42=3),AND($E42=3,'Ответы учащихся'!H42=-8),AND($E42=4,'Ответы учащихся'!H42=-6)),1,IF('Ответы учащихся'!H42="N",'Ответы учащихся'!H42,0)),"")),"")</f>
        <v>1</v>
      </c>
      <c r="J42" s="102">
        <f>IF(AND(OR($C42&lt;&gt;"",$D42&lt;&gt;""),$A42=1,$AI$2="ДА"),(IF($A42=1,IF(OR(AND($E42=1,'Ответы учащихся'!I42=3412),AND($E42=2,'Ответы учащихся'!I42=2314),AND($E42=3,'Ответы учащихся'!I42=3142),AND($E42=4,'Ответы учащихся'!I42=1234)),1,IF('Ответы учащихся'!I42="N",'Ответы учащихся'!I42,0)),"")),"")</f>
        <v>1</v>
      </c>
      <c r="K42" s="102">
        <f>IF(AND(OR($C42&lt;&gt;"",$D42&lt;&gt;""),$A42=1,$AI$2="ДА"),(IF($A42=1,IF(OR(AND($E42=1,'Ответы учащихся'!J42=390),AND($E42=2,'Ответы учащихся'!J42=273),AND($E42=3,'Ответы учащихся'!J42=205),AND($E42=4,'Ответы учащихся'!J42=240)),1,IF('Ответы учащихся'!J42="N",'Ответы учащихся'!J42,0)),"")),"")</f>
        <v>1</v>
      </c>
      <c r="L42" s="102">
        <f>IF(AND(OR($C42&lt;&gt;"",$D42&lt;&gt;""),$A42=1,$AI$2="ДА"),(IF($A42=1,IF(OR(AND($E42=1,'Ответы учащихся'!K42=1),AND($E42=2,'Ответы учащихся'!K42=2),AND($E42=3,'Ответы учащихся'!K42=4),AND($E42=4,'Ответы учащихся'!K42=3)),1,IF('Ответы учащихся'!K42="N",'Ответы учащихся'!K42,0)),"")),"")</f>
        <v>1</v>
      </c>
      <c r="M42" s="102">
        <f>IF(AND(OR($C42&lt;&gt;"",$D42&lt;&gt;""),$A42=1,$AI$2="ДА"),(IF($A42=1,IF(OR(AND($E42=1,'Ответы учащихся'!L42=3),AND($E42=2,'Ответы учащихся'!L42=1),AND($E42=3,'Ответы учащихся'!L42=4),AND($E42=4,'Ответы учащихся'!L42=2)),1,IF('Ответы учащихся'!L42="N",'Ответы учащихся'!L42,0)),"")),"")</f>
        <v>0</v>
      </c>
      <c r="N42" s="102">
        <f>IF(AND(OR($C42&lt;&gt;"",$D42&lt;&gt;""),$A42=1,$AI$2="ДА"),'Ответы учащихся'!M42,"")</f>
        <v>1</v>
      </c>
      <c r="O42" s="102">
        <f>IF(AND(OR($C42&lt;&gt;"",$D42&lt;&gt;""),$A42=1,$AI$2="ДА"),(IF($A42=1,IF(OR(AND($E42=1,'Ответы учащихся'!N42=3),AND($E42=2,'Ответы учащихся'!N42=2),AND($E42=3,'Ответы учащихся'!N42=4),AND($E42=4,'Ответы учащихся'!N42=1)),1,IF('Ответы учащихся'!N42="N",'Ответы учащихся'!N42,0)),"")),"")</f>
        <v>0</v>
      </c>
      <c r="P42" s="102">
        <f>IF(AND(OR($C42&lt;&gt;"",$D42&lt;&gt;""),$A42=1,$AI$2="ДА"),(IF($A42=1,IF(OR(AND($E42=1,'Ответы учащихся'!O42="БВ"),AND($E42=2,'Ответы учащихся'!O42="АВГ"),AND($E42=3,'Ответы учащихся'!O42="БВГ"),AND($E42=4,'Ответы учащихся'!O42="АВ")),1,IF('Ответы учащихся'!O42="N",'Ответы учащихся'!O42,0)),"")),"")</f>
        <v>0</v>
      </c>
      <c r="Q42" s="102">
        <f>IF(AND(OR($C42&lt;&gt;"",$D42&lt;&gt;""),$A42=1,$AI$2="ДА"),(IF($A42=1,IF(OR(AND($E42=1,'Ответы учащихся'!P42=2351),AND($E42=2,'Ответы учащихся'!P42=4132),AND($E42=3,'Ответы учащихся'!P42=3412),AND($E42=4,'Ответы учащихся'!P42=3125)),1,IF('Ответы учащихся'!P42="N",'Ответы учащихся'!P42,0)),"")),"")</f>
        <v>1</v>
      </c>
      <c r="R42" s="102">
        <f>IF(AND(OR($C42&lt;&gt;"",$D42&lt;&gt;""),$A42=1,$AI$2="ДА"),(IF($A42=1,IF(OR(AND($E42=1,'Ответы учащихся'!Q42=2),AND($E42=2,'Ответы учащихся'!Q42=9),AND($E42=3,'Ответы учащихся'!Q42=5),AND($E42=4,'Ответы учащихся'!Q42=2)),1,IF('Ответы учащихся'!Q42="N",'Ответы учащихся'!Q42,0)),"")),"")</f>
        <v>1</v>
      </c>
      <c r="S42" s="102">
        <f>IF(AND(OR($C42&lt;&gt;"",$D42&lt;&gt;""),$A42=1,$AI$2="ДА"),(IF($A42=1,IF(OR(AND($E42=1,'Ответы учащихся'!R42=35),AND($E42=2,'Ответы учащихся'!R42=74),AND($E42=3,'Ответы учащихся'!R42=72),AND($E42=4,'Ответы учащихся'!R42=66)),1,IF('Ответы учащихся'!R42="N",'Ответы учащихся'!R42,0)),"")),"")</f>
        <v>1</v>
      </c>
      <c r="T42" s="102">
        <f>IF(AND(OR($C42&lt;&gt;"",$D42&lt;&gt;""),$A42=1,$AI$2="ДА"),(IF($A42=1,IF(OR(AND($E42=1,'Ответы учащихся'!S42=60),AND($E42=2,'Ответы учащихся'!S42=40),AND($E42=3,'Ответы учащихся'!S42=30),AND($E42=4,'Ответы учащихся'!S42=18)),1,IF('Ответы учащихся'!S42="N",'Ответы учащихся'!S42,0)),"")),"")</f>
        <v>0</v>
      </c>
      <c r="U42" s="102">
        <f>IF(AND(OR($C42&lt;&gt;"",$D42&lt;&gt;""),$A42=1,$AI$2="ДА"),(IF($A42=1,IF(OR(AND($E42=1,'Ответы учащихся'!T42=3),AND($E42=2,'Ответы учащихся'!T42=4),AND($E42=3,'Ответы учащихся'!T42=2),AND($E42=4,'Ответы учащихся'!T42=3)),1,IF('Ответы учащихся'!T42="N",'Ответы учащихся'!T42,0)),"")),"")</f>
        <v>1</v>
      </c>
      <c r="V42" s="102">
        <f>IF(AND(OR($C42&lt;&gt;"",$D42&lt;&gt;""),$A42=1,$AI$2="ДА"),(IF($A42=1,IF(OR(AND($E42=1,'Ответы учащихся'!U42=11),AND($E42=2,'Ответы учащихся'!U42=14),AND($E42=3,'Ответы учащихся'!U42=-2),AND($E42=4,'Ответы учащихся'!U42=25)),1,IF('Ответы учащихся'!U42="N",'Ответы учащихся'!U42,0)),"")),"")</f>
        <v>1</v>
      </c>
      <c r="W42" s="102">
        <f>IF(AND(OR($C42&lt;&gt;"",$D42&lt;&gt;""),$A42=1,$AI$2="ДА"),(IF($A42=1,IF(OR(AND($E42=1,'Ответы учащихся'!V42=3000),AND($E42=2,'Ответы учащихся'!V42=2500),AND($E42=3,'Ответы учащихся'!V42=1500),AND($E42=4,'Ответы учащихся'!V42=1500)),1,IF('Ответы учащихся'!V42="N",'Ответы учащихся'!V42,0)),"")),"")</f>
        <v>1</v>
      </c>
      <c r="X42" s="102"/>
      <c r="Y42" s="102">
        <f>IF(AND(OR($C42&lt;&gt;"",$D42&lt;&gt;""),$A42=1,$AI$2="ДА"),(IF($A42=1,IF(AND('Ответы учащихся'!$W42&lt;&gt;"N",'Ответы учащихся'!$X42&lt;&gt;"N",'Ответы учащихся'!$Y42&lt;&gt;"N",'Ответы учащихся'!$Z42&lt;&gt;"N",'Ответы учащихся'!$AA42&lt;&gt;"N"),(SUM('Ответы учащихся'!$W42:$AA42)),"N"),"")),"")</f>
        <v>0.4</v>
      </c>
      <c r="Z42" s="102"/>
      <c r="AA42" s="102" t="str">
        <f>IF(AND(OR($C42&lt;&gt;"",$D42&lt;&gt;""),$A42=1,$AI$2="ДА"),(IF($A42=1,IF(AND('Ответы учащихся'!$AB42&lt;&gt;"N",'Ответы учащихся'!$AC42&lt;&gt;"N",'Ответы учащихся'!$AD42&lt;&gt;"N",'Ответы учащихся'!$AE42&lt;&gt;"N"),(SUM('Ответы учащихся'!$AB42:$AE42)),"N"),"")),"")</f>
        <v>N</v>
      </c>
      <c r="AB42" s="289" t="str">
        <f>IF(AND(OR($C42&lt;&gt;"",$D42&lt;&gt;""),$A42=1,$AI$2="ДА"),(IF($A42=1,IF(AND('Ответы учащихся'!$AF42&lt;&gt;"N",'Ответы учащихся'!$AG42&lt;&gt;"N",'Ответы учащихся'!$AH42&lt;&gt;"N",'Ответы учащихся'!$AI42&lt;&gt;"N"),(SUM('Ответы учащихся'!$AF42:$AI42)),"N"),"")),"")</f>
        <v>N</v>
      </c>
      <c r="AC42" s="468">
        <f t="shared" si="6"/>
        <v>13.4</v>
      </c>
      <c r="AD42" s="326">
        <f t="shared" si="7"/>
        <v>0.55833333333333335</v>
      </c>
      <c r="AE42" s="327">
        <f t="shared" si="8"/>
        <v>13</v>
      </c>
      <c r="AF42" s="328">
        <f t="shared" si="9"/>
        <v>72.222222222222214</v>
      </c>
      <c r="AG42" s="327">
        <f t="shared" si="10"/>
        <v>0.4</v>
      </c>
      <c r="AH42" s="329">
        <f t="shared" si="11"/>
        <v>6.666666666666667</v>
      </c>
      <c r="AI42" s="456" t="str">
        <f t="shared" si="12"/>
        <v>БАЗОВЫЙ</v>
      </c>
      <c r="AJ42" s="446">
        <f t="shared" si="13"/>
        <v>16.614705882352936</v>
      </c>
      <c r="AK42" s="447">
        <f t="shared" si="14"/>
        <v>0.69227941176470575</v>
      </c>
      <c r="AL42" s="445">
        <v>9</v>
      </c>
      <c r="AM42" s="446">
        <f t="shared" si="15"/>
        <v>77.287581699346404</v>
      </c>
      <c r="AN42" s="442">
        <f>IF($A42=1,IF(OR(AND($E42=1,'Ответы учащихся'!W42=0.4),AND($E42=2,'Ответы учащихся'!W42=0.4),AND($E42=3,'Ответы учащихся'!W42=0.4),AND($E42=4,'Ответы учащихся'!W42=0.4)),1,IF('Ответы учащихся'!W42="N",'Ответы учащихся'!W42,0)),"")</f>
        <v>1</v>
      </c>
      <c r="AO42" s="434">
        <f>IF($A42=1,IF(OR(AND($E42=1,'Ответы учащихся'!X42=0.4),AND($E42=2,'Ответы учащихся'!X42=0.4),AND($E42=3,'Ответы учащихся'!X42=0.4),AND($E42=4,'Ответы учащихся'!X42=0.4)),1,IF('Ответы учащихся'!X42="N",'Ответы учащихся'!X42,0)),"")</f>
        <v>0</v>
      </c>
      <c r="AP42" s="434">
        <f>IF($A42=1,IF(OR(AND($E42=1,'Ответы учащихся'!Y42=0.4),AND($E42=2,'Ответы учащихся'!Y42=0.4),AND($E42=3,'Ответы учащихся'!Y42=0.4),AND($E42=4,'Ответы учащихся'!Y42=0.4)),1,IF('Ответы учащихся'!Y42="N",'Ответы учащихся'!Y42,0)),"")</f>
        <v>0</v>
      </c>
      <c r="AQ42" s="434">
        <f>IF($A42=1,IF(OR(AND($E42=1,'Ответы учащихся'!Z42=0.4),AND($E42=2,'Ответы учащихся'!Z42=0.4),AND($E42=3,'Ответы учащихся'!Z42=0.4),AND($E42=4,'Ответы учащихся'!Z42=0.4)),1,IF('Ответы учащихся'!Z42="N",'Ответы учащихся'!Z42,0)),"")</f>
        <v>0</v>
      </c>
      <c r="AR42" s="434">
        <f>IF($A42=1,IF(OR(AND($E42=1,'Ответы учащихся'!AA42=0.4),AND($E42=2,'Ответы учащихся'!AA42=0.4),AND($E42=3,'Ответы учащихся'!AA42=0.4),AND($E42=4,'Ответы учащихся'!AA42=0.4)),1,IF('Ответы учащихся'!AA42="N",'Ответы учащихся'!AA42,0)),"")</f>
        <v>0</v>
      </c>
      <c r="AS42" s="435" t="str">
        <f>IF($A42=1,IF(OR(AND($E42=1,'Ответы учащихся'!AB42=0.5),AND($E42=2,'Ответы учащихся'!AB42=0.5),AND($E42=3,'Ответы учащихся'!AB42=0.5),AND($E42=4,'Ответы учащихся'!AB42=0.5)),1,IF('Ответы учащихся'!AB42="N",'Ответы учащихся'!AB42,0)),"")</f>
        <v>N</v>
      </c>
      <c r="AT42" s="435" t="str">
        <f>IF($A42=1,IF(OR(AND($E42=1,'Ответы учащихся'!AC42=0.5),AND($E42=2,'Ответы учащихся'!AC42=0.5),AND($E42=3,'Ответы учащихся'!AC42=0.5),AND($E42=4,'Ответы учащихся'!AC42=0.5)),1,IF('Ответы учащихся'!AC42="N",'Ответы учащихся'!AC42,0)),"")</f>
        <v>N</v>
      </c>
      <c r="AU42" s="435" t="str">
        <f>IF($A42=1,IF(OR(AND($E42=1,'Ответы учащихся'!AD42=0.5),AND($E42=2,'Ответы учащихся'!AD42=0.5),AND($E42=3,'Ответы учащихся'!AD42=0.5),AND($E42=4,'Ответы учащихся'!AD42=0.5)),1,IF('Ответы учащихся'!AD42="N",'Ответы учащихся'!AD42,0)),"")</f>
        <v>N</v>
      </c>
      <c r="AV42" s="435" t="str">
        <f>IF($A42=1,IF(OR(AND($E42=1,'Ответы учащихся'!AE42=0.5),AND($E42=2,'Ответы учащихся'!AE42=0.5),AND($E42=3,'Ответы учащихся'!AE42=0.5),AND($E42=4,'Ответы учащихся'!AE42=0.5)),1,IF('Ответы учащихся'!AE42="N",'Ответы учащихся'!AE42,0)),"")</f>
        <v>N</v>
      </c>
      <c r="AW42" s="436" t="str">
        <f>IF($A42=1,IF(OR(AND($E42=1,'Ответы учащихся'!AF42=0.5),AND($E42=2,'Ответы учащихся'!AF42=0.5),AND($E42=3,'Ответы учащихся'!AF42=0.5),AND($E42=4,'Ответы учащихся'!AF42=0.5)),1,IF('Ответы учащихся'!AF42="N",'Ответы учащихся'!AF42,0)),"")</f>
        <v>N</v>
      </c>
      <c r="AX42" s="436" t="str">
        <f>IF($A42=1,IF(OR(AND($E42=1,'Ответы учащихся'!AG42=0.5),AND($E42=2,'Ответы учащихся'!AG42=0.5),AND($E42=3,'Ответы учащихся'!AG42=0.5),AND($E42=4,'Ответы учащихся'!AG42=0.5)),1,IF('Ответы учащихся'!AG42="N",'Ответы учащихся'!AG42,0)),"")</f>
        <v>N</v>
      </c>
      <c r="AY42" s="436" t="str">
        <f>IF($A42=1,IF(OR(AND($E42=1,'Ответы учащихся'!AH42=0.5),AND($E42=2,'Ответы учащихся'!AH42=0.5),AND($E42=3,'Ответы учащихся'!AH42=0.5),AND($E42=4,'Ответы учащихся'!AH42=0.5)),1,IF('Ответы учащихся'!AH42="N",'Ответы учащихся'!AH42,0)),"")</f>
        <v>N</v>
      </c>
      <c r="AZ42" s="436" t="str">
        <f>IF($A42=1,IF(OR(AND($E42=1,'Ответы учащихся'!AI42=0.5),AND($E42=2,'Ответы учащихся'!AI42=0.5),AND($E42=3,'Ответы учащихся'!AI42=0.5),AND($E42=4,'Ответы учащихся'!AI42=0.5)),1,IF('Ответы учащихся'!AI42="N",'Ответы учащихся'!AI42,0)),"")</f>
        <v>N</v>
      </c>
      <c r="BA42" s="429"/>
      <c r="BB42" s="429"/>
      <c r="BC42" s="429"/>
      <c r="BD42" s="429"/>
      <c r="BE42" s="419"/>
      <c r="BF42" s="419"/>
      <c r="BG42" s="6"/>
      <c r="BH42" s="6"/>
      <c r="BI42" s="6"/>
      <c r="BJ42" s="6"/>
    </row>
    <row r="43" spans="1:62" ht="12.75" customHeight="1" x14ac:dyDescent="0.2">
      <c r="A43" s="12">
        <f>IF('СПИСОК КЛАССА'!J43&gt;0,1,0)</f>
        <v>1</v>
      </c>
      <c r="B43" s="100">
        <v>24</v>
      </c>
      <c r="C43" s="101">
        <f>IF(NOT(ISBLANK('СПИСОК КЛАССА'!C43)),'СПИСОК КЛАССА'!C43,"")</f>
        <v>24</v>
      </c>
      <c r="D43" s="134" t="str">
        <f>IF(NOT(ISBLANK('СПИСОК КЛАССА'!D43)),IF($A43=1,'СПИСОК КЛАССА'!D43, "УЧЕНИК НЕ ВЫПОЛНЯЛ РАБОТУ"),"")</f>
        <v/>
      </c>
      <c r="E43" s="459">
        <f>IF($C43&lt;&gt;"",'СПИСОК КЛАССА'!J43,"")</f>
        <v>4</v>
      </c>
      <c r="F43" s="133">
        <f>IF(AND(OR($C43&lt;&gt;"",$D43&lt;&gt;""),$A43=1,$AI$2="ДА"),'Ответы учащихся'!E43,"")</f>
        <v>1</v>
      </c>
      <c r="G43" s="102">
        <f>IF(AND(OR($C43&lt;&gt;"",$D43&lt;&gt;""),$A43=1,$AI$2="ДА"),(IF($A43=1,IF(OR(AND($E43=1,'Ответы учащихся'!F43=2),AND($E43=2,'Ответы учащихся'!F43=4),AND($E43=3,OR('Ответы учащихся'!F43=3,'Ответы учащихся'!F43=4)),AND($E43=4,'Ответы учащихся'!F43=1)),1,IF('Ответы учащихся'!F43="N",'Ответы учащихся'!F43,0)),"")),"")</f>
        <v>1</v>
      </c>
      <c r="H43" s="102">
        <f>IF(AND(OR($C43&lt;&gt;"",$D43&lt;&gt;""),$A43=1,$AI$2="ДА"),(IF($A43=1,IF(OR(AND($E43=1,'Ответы учащихся'!G43=1),AND($E43=2,'Ответы учащихся'!G43=3),AND($E43=3,'Ответы учащихся'!G43=3),AND($E43=4,'Ответы учащихся'!G43=3)),1,IF('Ответы учащихся'!G43="N",'Ответы учащихся'!G43,0)),"")),"")</f>
        <v>1</v>
      </c>
      <c r="I43" s="102">
        <f>IF(AND(OR($C43&lt;&gt;"",$D43&lt;&gt;""),$A43=1,$AI$2="ДА"),(IF($A43=1,IF(OR(AND($E43=1,'Ответы учащихся'!H43=-6),AND($E43=2,'Ответы учащихся'!H43=3),AND($E43=3,'Ответы учащихся'!H43=-8),AND($E43=4,'Ответы учащихся'!H43=-6)),1,IF('Ответы учащихся'!H43="N",'Ответы учащихся'!H43,0)),"")),"")</f>
        <v>1</v>
      </c>
      <c r="J43" s="102">
        <f>IF(AND(OR($C43&lt;&gt;"",$D43&lt;&gt;""),$A43=1,$AI$2="ДА"),(IF($A43=1,IF(OR(AND($E43=1,'Ответы учащихся'!I43=3412),AND($E43=2,'Ответы учащихся'!I43=2314),AND($E43=3,'Ответы учащихся'!I43=3142),AND($E43=4,'Ответы учащихся'!I43=1234)),1,IF('Ответы учащихся'!I43="N",'Ответы учащихся'!I43,0)),"")),"")</f>
        <v>1</v>
      </c>
      <c r="K43" s="102">
        <f>IF(AND(OR($C43&lt;&gt;"",$D43&lt;&gt;""),$A43=1,$AI$2="ДА"),(IF($A43=1,IF(OR(AND($E43=1,'Ответы учащихся'!J43=390),AND($E43=2,'Ответы учащихся'!J43=273),AND($E43=3,'Ответы учащихся'!J43=205),AND($E43=4,'Ответы учащихся'!J43=240)),1,IF('Ответы учащихся'!J43="N",'Ответы учащихся'!J43,0)),"")),"")</f>
        <v>1</v>
      </c>
      <c r="L43" s="102">
        <f>IF(AND(OR($C43&lt;&gt;"",$D43&lt;&gt;""),$A43=1,$AI$2="ДА"),(IF($A43=1,IF(OR(AND($E43=1,'Ответы учащихся'!K43=1),AND($E43=2,'Ответы учащихся'!K43=2),AND($E43=3,'Ответы учащихся'!K43=4),AND($E43=4,'Ответы учащихся'!K43=3)),1,IF('Ответы учащихся'!K43="N",'Ответы учащихся'!K43,0)),"")),"")</f>
        <v>1</v>
      </c>
      <c r="M43" s="102">
        <f>IF(AND(OR($C43&lt;&gt;"",$D43&lt;&gt;""),$A43=1,$AI$2="ДА"),(IF($A43=1,IF(OR(AND($E43=1,'Ответы учащихся'!L43=3),AND($E43=2,'Ответы учащихся'!L43=1),AND($E43=3,'Ответы учащихся'!L43=4),AND($E43=4,'Ответы учащихся'!L43=2)),1,IF('Ответы учащихся'!L43="N",'Ответы учащихся'!L43,0)),"")),"")</f>
        <v>0</v>
      </c>
      <c r="N43" s="102">
        <f>IF(AND(OR($C43&lt;&gt;"",$D43&lt;&gt;""),$A43=1,$AI$2="ДА"),'Ответы учащихся'!M43,"")</f>
        <v>0</v>
      </c>
      <c r="O43" s="102">
        <f>IF(AND(OR($C43&lt;&gt;"",$D43&lt;&gt;""),$A43=1,$AI$2="ДА"),(IF($A43=1,IF(OR(AND($E43=1,'Ответы учащихся'!N43=3),AND($E43=2,'Ответы учащихся'!N43=2),AND($E43=3,'Ответы учащихся'!N43=4),AND($E43=4,'Ответы учащихся'!N43=1)),1,IF('Ответы учащихся'!N43="N",'Ответы учащихся'!N43,0)),"")),"")</f>
        <v>1</v>
      </c>
      <c r="P43" s="102">
        <f>IF(AND(OR($C43&lt;&gt;"",$D43&lt;&gt;""),$A43=1,$AI$2="ДА"),(IF($A43=1,IF(OR(AND($E43=1,'Ответы учащихся'!O43="БВ"),AND($E43=2,'Ответы учащихся'!O43="АВГ"),AND($E43=3,'Ответы учащихся'!O43="БВГ"),AND($E43=4,'Ответы учащихся'!O43="АВ")),1,IF('Ответы учащихся'!O43="N",'Ответы учащихся'!O43,0)),"")),"")</f>
        <v>1</v>
      </c>
      <c r="Q43" s="102">
        <f>IF(AND(OR($C43&lt;&gt;"",$D43&lt;&gt;""),$A43=1,$AI$2="ДА"),(IF($A43=1,IF(OR(AND($E43=1,'Ответы учащихся'!P43=2351),AND($E43=2,'Ответы учащихся'!P43=4132),AND($E43=3,'Ответы учащихся'!P43=3412),AND($E43=4,'Ответы учащихся'!P43=3125)),1,IF('Ответы учащихся'!P43="N",'Ответы учащихся'!P43,0)),"")),"")</f>
        <v>0</v>
      </c>
      <c r="R43" s="102">
        <f>IF(AND(OR($C43&lt;&gt;"",$D43&lt;&gt;""),$A43=1,$AI$2="ДА"),(IF($A43=1,IF(OR(AND($E43=1,'Ответы учащихся'!Q43=2),AND($E43=2,'Ответы учащихся'!Q43=9),AND($E43=3,'Ответы учащихся'!Q43=5),AND($E43=4,'Ответы учащихся'!Q43=2)),1,IF('Ответы учащихся'!Q43="N",'Ответы учащихся'!Q43,0)),"")),"")</f>
        <v>1</v>
      </c>
      <c r="S43" s="102">
        <f>IF(AND(OR($C43&lt;&gt;"",$D43&lt;&gt;""),$A43=1,$AI$2="ДА"),(IF($A43=1,IF(OR(AND($E43=1,'Ответы учащихся'!R43=35),AND($E43=2,'Ответы учащихся'!R43=74),AND($E43=3,'Ответы учащихся'!R43=72),AND($E43=4,'Ответы учащихся'!R43=66)),1,IF('Ответы учащихся'!R43="N",'Ответы учащихся'!R43,0)),"")),"")</f>
        <v>1</v>
      </c>
      <c r="T43" s="102">
        <f>IF(AND(OR($C43&lt;&gt;"",$D43&lt;&gt;""),$A43=1,$AI$2="ДА"),(IF($A43=1,IF(OR(AND($E43=1,'Ответы учащихся'!S43=60),AND($E43=2,'Ответы учащихся'!S43=40),AND($E43=3,'Ответы учащихся'!S43=30),AND($E43=4,'Ответы учащихся'!S43=18)),1,IF('Ответы учащихся'!S43="N",'Ответы учащихся'!S43,0)),"")),"")</f>
        <v>0</v>
      </c>
      <c r="U43" s="102">
        <f>IF(AND(OR($C43&lt;&gt;"",$D43&lt;&gt;""),$A43=1,$AI$2="ДА"),(IF($A43=1,IF(OR(AND($E43=1,'Ответы учащихся'!T43=3),AND($E43=2,'Ответы учащихся'!T43=4),AND($E43=3,'Ответы учащихся'!T43=2),AND($E43=4,'Ответы учащихся'!T43=3)),1,IF('Ответы учащихся'!T43="N",'Ответы учащихся'!T43,0)),"")),"")</f>
        <v>1</v>
      </c>
      <c r="V43" s="102">
        <f>IF(AND(OR($C43&lt;&gt;"",$D43&lt;&gt;""),$A43=1,$AI$2="ДА"),(IF($A43=1,IF(OR(AND($E43=1,'Ответы учащихся'!U43=11),AND($E43=2,'Ответы учащихся'!U43=14),AND($E43=3,'Ответы учащихся'!U43=-2),AND($E43=4,'Ответы учащихся'!U43=25)),1,IF('Ответы учащихся'!U43="N",'Ответы учащихся'!U43,0)),"")),"")</f>
        <v>1</v>
      </c>
      <c r="W43" s="102">
        <f>IF(AND(OR($C43&lt;&gt;"",$D43&lt;&gt;""),$A43=1,$AI$2="ДА"),(IF($A43=1,IF(OR(AND($E43=1,'Ответы учащихся'!V43=3000),AND($E43=2,'Ответы учащихся'!V43=2500),AND($E43=3,'Ответы учащихся'!V43=1500),AND($E43=4,'Ответы учащихся'!V43=1500)),1,IF('Ответы учащихся'!V43="N",'Ответы учащихся'!V43,0)),"")),"")</f>
        <v>1</v>
      </c>
      <c r="X43" s="102"/>
      <c r="Y43" s="102" t="str">
        <f>IF(AND(OR($C43&lt;&gt;"",$D43&lt;&gt;""),$A43=1,$AI$2="ДА"),(IF($A43=1,IF(AND('Ответы учащихся'!$W43&lt;&gt;"N",'Ответы учащихся'!$X43&lt;&gt;"N",'Ответы учащихся'!$Y43&lt;&gt;"N",'Ответы учащихся'!$Z43&lt;&gt;"N",'Ответы учащихся'!$AA43&lt;&gt;"N"),(SUM('Ответы учащихся'!$W43:$AA43)),"N"),"")),"")</f>
        <v>N</v>
      </c>
      <c r="Z43" s="102"/>
      <c r="AA43" s="102" t="str">
        <f>IF(AND(OR($C43&lt;&gt;"",$D43&lt;&gt;""),$A43=1,$AI$2="ДА"),(IF($A43=1,IF(AND('Ответы учащихся'!$AB43&lt;&gt;"N",'Ответы учащихся'!$AC43&lt;&gt;"N",'Ответы учащихся'!$AD43&lt;&gt;"N",'Ответы учащихся'!$AE43&lt;&gt;"N"),(SUM('Ответы учащихся'!$AB43:$AE43)),"N"),"")),"")</f>
        <v>N</v>
      </c>
      <c r="AB43" s="289" t="str">
        <f>IF(AND(OR($C43&lt;&gt;"",$D43&lt;&gt;""),$A43=1,$AI$2="ДА"),(IF($A43=1,IF(AND('Ответы учащихся'!$AF43&lt;&gt;"N",'Ответы учащихся'!$AG43&lt;&gt;"N",'Ответы учащихся'!$AH43&lt;&gt;"N",'Ответы учащихся'!$AI43&lt;&gt;"N"),(SUM('Ответы учащихся'!$AF43:$AI43)),"N"),"")),"")</f>
        <v>N</v>
      </c>
      <c r="AC43" s="468">
        <f t="shared" si="6"/>
        <v>14</v>
      </c>
      <c r="AD43" s="326">
        <f t="shared" si="7"/>
        <v>0.58333333333333337</v>
      </c>
      <c r="AE43" s="327">
        <f t="shared" si="8"/>
        <v>14</v>
      </c>
      <c r="AF43" s="328">
        <f t="shared" si="9"/>
        <v>77.777777777777786</v>
      </c>
      <c r="AG43" s="327">
        <f t="shared" si="10"/>
        <v>0</v>
      </c>
      <c r="AH43" s="329">
        <f t="shared" si="11"/>
        <v>0</v>
      </c>
      <c r="AI43" s="456" t="str">
        <f t="shared" si="12"/>
        <v>БАЗОВЫЙ</v>
      </c>
      <c r="AJ43" s="446">
        <f t="shared" si="13"/>
        <v>16.614705882352936</v>
      </c>
      <c r="AK43" s="447">
        <f t="shared" si="14"/>
        <v>0.69227941176470575</v>
      </c>
      <c r="AL43" s="445">
        <v>9</v>
      </c>
      <c r="AM43" s="446">
        <f t="shared" si="15"/>
        <v>77.287581699346404</v>
      </c>
      <c r="AN43" s="442" t="str">
        <f>IF($A43=1,IF(OR(AND($E43=1,'Ответы учащихся'!W43=0.4),AND($E43=2,'Ответы учащихся'!W43=0.4),AND($E43=3,'Ответы учащихся'!W43=0.4),AND($E43=4,'Ответы учащихся'!W43=0.4)),1,IF('Ответы учащихся'!W43="N",'Ответы учащихся'!W43,0)),"")</f>
        <v>N</v>
      </c>
      <c r="AO43" s="434" t="str">
        <f>IF($A43=1,IF(OR(AND($E43=1,'Ответы учащихся'!X43=0.4),AND($E43=2,'Ответы учащихся'!X43=0.4),AND($E43=3,'Ответы учащихся'!X43=0.4),AND($E43=4,'Ответы учащихся'!X43=0.4)),1,IF('Ответы учащихся'!X43="N",'Ответы учащихся'!X43,0)),"")</f>
        <v>N</v>
      </c>
      <c r="AP43" s="434" t="str">
        <f>IF($A43=1,IF(OR(AND($E43=1,'Ответы учащихся'!Y43=0.4),AND($E43=2,'Ответы учащихся'!Y43=0.4),AND($E43=3,'Ответы учащихся'!Y43=0.4),AND($E43=4,'Ответы учащихся'!Y43=0.4)),1,IF('Ответы учащихся'!Y43="N",'Ответы учащихся'!Y43,0)),"")</f>
        <v>N</v>
      </c>
      <c r="AQ43" s="434" t="str">
        <f>IF($A43=1,IF(OR(AND($E43=1,'Ответы учащихся'!Z43=0.4),AND($E43=2,'Ответы учащихся'!Z43=0.4),AND($E43=3,'Ответы учащихся'!Z43=0.4),AND($E43=4,'Ответы учащихся'!Z43=0.4)),1,IF('Ответы учащихся'!Z43="N",'Ответы учащихся'!Z43,0)),"")</f>
        <v>N</v>
      </c>
      <c r="AR43" s="434" t="str">
        <f>IF($A43=1,IF(OR(AND($E43=1,'Ответы учащихся'!AA43=0.4),AND($E43=2,'Ответы учащихся'!AA43=0.4),AND($E43=3,'Ответы учащихся'!AA43=0.4),AND($E43=4,'Ответы учащихся'!AA43=0.4)),1,IF('Ответы учащихся'!AA43="N",'Ответы учащихся'!AA43,0)),"")</f>
        <v>N</v>
      </c>
      <c r="AS43" s="435" t="str">
        <f>IF($A43=1,IF(OR(AND($E43=1,'Ответы учащихся'!AB43=0.5),AND($E43=2,'Ответы учащихся'!AB43=0.5),AND($E43=3,'Ответы учащихся'!AB43=0.5),AND($E43=4,'Ответы учащихся'!AB43=0.5)),1,IF('Ответы учащихся'!AB43="N",'Ответы учащихся'!AB43,0)),"")</f>
        <v>N</v>
      </c>
      <c r="AT43" s="435" t="str">
        <f>IF($A43=1,IF(OR(AND($E43=1,'Ответы учащихся'!AC43=0.5),AND($E43=2,'Ответы учащихся'!AC43=0.5),AND($E43=3,'Ответы учащихся'!AC43=0.5),AND($E43=4,'Ответы учащихся'!AC43=0.5)),1,IF('Ответы учащихся'!AC43="N",'Ответы учащихся'!AC43,0)),"")</f>
        <v>N</v>
      </c>
      <c r="AU43" s="435" t="str">
        <f>IF($A43=1,IF(OR(AND($E43=1,'Ответы учащихся'!AD43=0.5),AND($E43=2,'Ответы учащихся'!AD43=0.5),AND($E43=3,'Ответы учащихся'!AD43=0.5),AND($E43=4,'Ответы учащихся'!AD43=0.5)),1,IF('Ответы учащихся'!AD43="N",'Ответы учащихся'!AD43,0)),"")</f>
        <v>N</v>
      </c>
      <c r="AV43" s="435" t="str">
        <f>IF($A43=1,IF(OR(AND($E43=1,'Ответы учащихся'!AE43=0.5),AND($E43=2,'Ответы учащихся'!AE43=0.5),AND($E43=3,'Ответы учащихся'!AE43=0.5),AND($E43=4,'Ответы учащихся'!AE43=0.5)),1,IF('Ответы учащихся'!AE43="N",'Ответы учащихся'!AE43,0)),"")</f>
        <v>N</v>
      </c>
      <c r="AW43" s="436" t="str">
        <f>IF($A43=1,IF(OR(AND($E43=1,'Ответы учащихся'!AF43=0.5),AND($E43=2,'Ответы учащихся'!AF43=0.5),AND($E43=3,'Ответы учащихся'!AF43=0.5),AND($E43=4,'Ответы учащихся'!AF43=0.5)),1,IF('Ответы учащихся'!AF43="N",'Ответы учащихся'!AF43,0)),"")</f>
        <v>N</v>
      </c>
      <c r="AX43" s="436" t="str">
        <f>IF($A43=1,IF(OR(AND($E43=1,'Ответы учащихся'!AG43=0.5),AND($E43=2,'Ответы учащихся'!AG43=0.5),AND($E43=3,'Ответы учащихся'!AG43=0.5),AND($E43=4,'Ответы учащихся'!AG43=0.5)),1,IF('Ответы учащихся'!AG43="N",'Ответы учащихся'!AG43,0)),"")</f>
        <v>N</v>
      </c>
      <c r="AY43" s="436" t="str">
        <f>IF($A43=1,IF(OR(AND($E43=1,'Ответы учащихся'!AH43=0.5),AND($E43=2,'Ответы учащихся'!AH43=0.5),AND($E43=3,'Ответы учащихся'!AH43=0.5),AND($E43=4,'Ответы учащихся'!AH43=0.5)),1,IF('Ответы учащихся'!AH43="N",'Ответы учащихся'!AH43,0)),"")</f>
        <v>N</v>
      </c>
      <c r="AZ43" s="436" t="str">
        <f>IF($A43=1,IF(OR(AND($E43=1,'Ответы учащихся'!AI43=0.5),AND($E43=2,'Ответы учащихся'!AI43=0.5),AND($E43=3,'Ответы учащихся'!AI43=0.5),AND($E43=4,'Ответы учащихся'!AI43=0.5)),1,IF('Ответы учащихся'!AI43="N",'Ответы учащихся'!AI43,0)),"")</f>
        <v>N</v>
      </c>
      <c r="BA43" s="429"/>
      <c r="BB43" s="429"/>
      <c r="BC43" s="429"/>
      <c r="BD43" s="429"/>
      <c r="BE43" s="419"/>
      <c r="BF43" s="419"/>
      <c r="BG43" s="6"/>
      <c r="BH43" s="6"/>
      <c r="BI43" s="6"/>
      <c r="BJ43" s="6"/>
    </row>
    <row r="44" spans="1:62" ht="12.75" customHeight="1" x14ac:dyDescent="0.2">
      <c r="A44" s="12">
        <f>IF('СПИСОК КЛАССА'!J44&gt;0,1,0)</f>
        <v>1</v>
      </c>
      <c r="B44" s="100">
        <v>25</v>
      </c>
      <c r="C44" s="101">
        <f>IF(NOT(ISBLANK('СПИСОК КЛАССА'!C44)),'СПИСОК КЛАССА'!C44,"")</f>
        <v>25</v>
      </c>
      <c r="D44" s="134" t="str">
        <f>IF(NOT(ISBLANK('СПИСОК КЛАССА'!D44)),IF($A44=1,'СПИСОК КЛАССА'!D44, "УЧЕНИК НЕ ВЫПОЛНЯЛ РАБОТУ"),"")</f>
        <v/>
      </c>
      <c r="E44" s="459">
        <f>IF($C44&lt;&gt;"",'СПИСОК КЛАССА'!J44,"")</f>
        <v>4</v>
      </c>
      <c r="F44" s="133">
        <f>IF(AND(OR($C44&lt;&gt;"",$D44&lt;&gt;""),$A44=1,$AI$2="ДА"),'Ответы учащихся'!E44,"")</f>
        <v>1</v>
      </c>
      <c r="G44" s="102">
        <f>IF(AND(OR($C44&lt;&gt;"",$D44&lt;&gt;""),$A44=1,$AI$2="ДА"),(IF($A44=1,IF(OR(AND($E44=1,'Ответы учащихся'!F44=2),AND($E44=2,'Ответы учащихся'!F44=4),AND($E44=3,OR('Ответы учащихся'!F44=3,'Ответы учащихся'!F44=4)),AND($E44=4,'Ответы учащихся'!F44=1)),1,IF('Ответы учащихся'!F44="N",'Ответы учащихся'!F44,0)),"")),"")</f>
        <v>0</v>
      </c>
      <c r="H44" s="102">
        <f>IF(AND(OR($C44&lt;&gt;"",$D44&lt;&gt;""),$A44=1,$AI$2="ДА"),(IF($A44=1,IF(OR(AND($E44=1,'Ответы учащихся'!G44=1),AND($E44=2,'Ответы учащихся'!G44=3),AND($E44=3,'Ответы учащихся'!G44=3),AND($E44=4,'Ответы учащихся'!G44=3)),1,IF('Ответы учащихся'!G44="N",'Ответы учащихся'!G44,0)),"")),"")</f>
        <v>0</v>
      </c>
      <c r="I44" s="102">
        <f>IF(AND(OR($C44&lt;&gt;"",$D44&lt;&gt;""),$A44=1,$AI$2="ДА"),(IF($A44=1,IF(OR(AND($E44=1,'Ответы учащихся'!H44=-6),AND($E44=2,'Ответы учащихся'!H44=3),AND($E44=3,'Ответы учащихся'!H44=-8),AND($E44=4,'Ответы учащихся'!H44=-6)),1,IF('Ответы учащихся'!H44="N",'Ответы учащихся'!H44,0)),"")),"")</f>
        <v>1</v>
      </c>
      <c r="J44" s="102">
        <f>IF(AND(OR($C44&lt;&gt;"",$D44&lt;&gt;""),$A44=1,$AI$2="ДА"),(IF($A44=1,IF(OR(AND($E44=1,'Ответы учащихся'!I44=3412),AND($E44=2,'Ответы учащихся'!I44=2314),AND($E44=3,'Ответы учащихся'!I44=3142),AND($E44=4,'Ответы учащихся'!I44=1234)),1,IF('Ответы учащихся'!I44="N",'Ответы учащихся'!I44,0)),"")),"")</f>
        <v>1</v>
      </c>
      <c r="K44" s="102">
        <f>IF(AND(OR($C44&lt;&gt;"",$D44&lt;&gt;""),$A44=1,$AI$2="ДА"),(IF($A44=1,IF(OR(AND($E44=1,'Ответы учащихся'!J44=390),AND($E44=2,'Ответы учащихся'!J44=273),AND($E44=3,'Ответы учащихся'!J44=205),AND($E44=4,'Ответы учащихся'!J44=240)),1,IF('Ответы учащихся'!J44="N",'Ответы учащихся'!J44,0)),"")),"")</f>
        <v>1</v>
      </c>
      <c r="L44" s="102">
        <f>IF(AND(OR($C44&lt;&gt;"",$D44&lt;&gt;""),$A44=1,$AI$2="ДА"),(IF($A44=1,IF(OR(AND($E44=1,'Ответы учащихся'!K44=1),AND($E44=2,'Ответы учащихся'!K44=2),AND($E44=3,'Ответы учащихся'!K44=4),AND($E44=4,'Ответы учащихся'!K44=3)),1,IF('Ответы учащихся'!K44="N",'Ответы учащихся'!K44,0)),"")),"")</f>
        <v>1</v>
      </c>
      <c r="M44" s="102">
        <f>IF(AND(OR($C44&lt;&gt;"",$D44&lt;&gt;""),$A44=1,$AI$2="ДА"),(IF($A44=1,IF(OR(AND($E44=1,'Ответы учащихся'!L44=3),AND($E44=2,'Ответы учащихся'!L44=1),AND($E44=3,'Ответы учащихся'!L44=4),AND($E44=4,'Ответы учащихся'!L44=2)),1,IF('Ответы учащихся'!L44="N",'Ответы учащихся'!L44,0)),"")),"")</f>
        <v>1</v>
      </c>
      <c r="N44" s="102">
        <f>IF(AND(OR($C44&lt;&gt;"",$D44&lt;&gt;""),$A44=1,$AI$2="ДА"),'Ответы учащихся'!M44,"")</f>
        <v>0</v>
      </c>
      <c r="O44" s="102">
        <f>IF(AND(OR($C44&lt;&gt;"",$D44&lt;&gt;""),$A44=1,$AI$2="ДА"),(IF($A44=1,IF(OR(AND($E44=1,'Ответы учащихся'!N44=3),AND($E44=2,'Ответы учащихся'!N44=2),AND($E44=3,'Ответы учащихся'!N44=4),AND($E44=4,'Ответы учащихся'!N44=1)),1,IF('Ответы учащихся'!N44="N",'Ответы учащихся'!N44,0)),"")),"")</f>
        <v>1</v>
      </c>
      <c r="P44" s="102">
        <f>IF(AND(OR($C44&lt;&gt;"",$D44&lt;&gt;""),$A44=1,$AI$2="ДА"),(IF($A44=1,IF(OR(AND($E44=1,'Ответы учащихся'!O44="БВ"),AND($E44=2,'Ответы учащихся'!O44="АВГ"),AND($E44=3,'Ответы учащихся'!O44="БВГ"),AND($E44=4,'Ответы учащихся'!O44="АВ")),1,IF('Ответы учащихся'!O44="N",'Ответы учащихся'!O44,0)),"")),"")</f>
        <v>1</v>
      </c>
      <c r="Q44" s="102">
        <f>IF(AND(OR($C44&lt;&gt;"",$D44&lt;&gt;""),$A44=1,$AI$2="ДА"),(IF($A44=1,IF(OR(AND($E44=1,'Ответы учащихся'!P44=2351),AND($E44=2,'Ответы учащихся'!P44=4132),AND($E44=3,'Ответы учащихся'!P44=3412),AND($E44=4,'Ответы учащихся'!P44=3125)),1,IF('Ответы учащихся'!P44="N",'Ответы учащихся'!P44,0)),"")),"")</f>
        <v>0</v>
      </c>
      <c r="R44" s="102">
        <f>IF(AND(OR($C44&lt;&gt;"",$D44&lt;&gt;""),$A44=1,$AI$2="ДА"),(IF($A44=1,IF(OR(AND($E44=1,'Ответы учащихся'!Q44=2),AND($E44=2,'Ответы учащихся'!Q44=9),AND($E44=3,'Ответы учащихся'!Q44=5),AND($E44=4,'Ответы учащихся'!Q44=2)),1,IF('Ответы учащихся'!Q44="N",'Ответы учащихся'!Q44,0)),"")),"")</f>
        <v>1</v>
      </c>
      <c r="S44" s="102">
        <f>IF(AND(OR($C44&lt;&gt;"",$D44&lt;&gt;""),$A44=1,$AI$2="ДА"),(IF($A44=1,IF(OR(AND($E44=1,'Ответы учащихся'!R44=35),AND($E44=2,'Ответы учащихся'!R44=74),AND($E44=3,'Ответы учащихся'!R44=72),AND($E44=4,'Ответы учащихся'!R44=66)),1,IF('Ответы учащихся'!R44="N",'Ответы учащихся'!R44,0)),"")),"")</f>
        <v>1</v>
      </c>
      <c r="T44" s="102">
        <f>IF(AND(OR($C44&lt;&gt;"",$D44&lt;&gt;""),$A44=1,$AI$2="ДА"),(IF($A44=1,IF(OR(AND($E44=1,'Ответы учащихся'!S44=60),AND($E44=2,'Ответы учащихся'!S44=40),AND($E44=3,'Ответы учащихся'!S44=30),AND($E44=4,'Ответы учащихся'!S44=18)),1,IF('Ответы учащихся'!S44="N",'Ответы учащихся'!S44,0)),"")),"")</f>
        <v>0</v>
      </c>
      <c r="U44" s="102">
        <f>IF(AND(OR($C44&lt;&gt;"",$D44&lt;&gt;""),$A44=1,$AI$2="ДА"),(IF($A44=1,IF(OR(AND($E44=1,'Ответы учащихся'!T44=3),AND($E44=2,'Ответы учащихся'!T44=4),AND($E44=3,'Ответы учащихся'!T44=2),AND($E44=4,'Ответы учащихся'!T44=3)),1,IF('Ответы учащихся'!T44="N",'Ответы учащихся'!T44,0)),"")),"")</f>
        <v>1</v>
      </c>
      <c r="V44" s="102">
        <f>IF(AND(OR($C44&lt;&gt;"",$D44&lt;&gt;""),$A44=1,$AI$2="ДА"),(IF($A44=1,IF(OR(AND($E44=1,'Ответы учащихся'!U44=11),AND($E44=2,'Ответы учащихся'!U44=14),AND($E44=3,'Ответы учащихся'!U44=-2),AND($E44=4,'Ответы учащихся'!U44=25)),1,IF('Ответы учащихся'!U44="N",'Ответы учащихся'!U44,0)),"")),"")</f>
        <v>1</v>
      </c>
      <c r="W44" s="102">
        <f>IF(AND(OR($C44&lt;&gt;"",$D44&lt;&gt;""),$A44=1,$AI$2="ДА"),(IF($A44=1,IF(OR(AND($E44=1,'Ответы учащихся'!V44=3000),AND($E44=2,'Ответы учащихся'!V44=2500),AND($E44=3,'Ответы учащихся'!V44=1500),AND($E44=4,'Ответы учащихся'!V44=1500)),1,IF('Ответы учащихся'!V44="N",'Ответы учащихся'!V44,0)),"")),"")</f>
        <v>1</v>
      </c>
      <c r="X44" s="102"/>
      <c r="Y44" s="102" t="str">
        <f>IF(AND(OR($C44&lt;&gt;"",$D44&lt;&gt;""),$A44=1,$AI$2="ДА"),(IF($A44=1,IF(AND('Ответы учащихся'!$W44&lt;&gt;"N",'Ответы учащихся'!$X44&lt;&gt;"N",'Ответы учащихся'!$Y44&lt;&gt;"N",'Ответы учащихся'!$Z44&lt;&gt;"N",'Ответы учащихся'!$AA44&lt;&gt;"N"),(SUM('Ответы учащихся'!$W44:$AA44)),"N"),"")),"")</f>
        <v>N</v>
      </c>
      <c r="Z44" s="102"/>
      <c r="AA44" s="102">
        <f>IF(AND(OR($C44&lt;&gt;"",$D44&lt;&gt;""),$A44=1,$AI$2="ДА"),(IF($A44=1,IF(AND('Ответы учащихся'!$AB44&lt;&gt;"N",'Ответы учащихся'!$AC44&lt;&gt;"N",'Ответы учащихся'!$AD44&lt;&gt;"N",'Ответы учащихся'!$AE44&lt;&gt;"N"),(SUM('Ответы учащихся'!$AB44:$AE44)),"N"),"")),"")</f>
        <v>1.5</v>
      </c>
      <c r="AB44" s="289">
        <f>IF(AND(OR($C44&lt;&gt;"",$D44&lt;&gt;""),$A44=1,$AI$2="ДА"),(IF($A44=1,IF(AND('Ответы учащихся'!$AF44&lt;&gt;"N",'Ответы учащихся'!$AG44&lt;&gt;"N",'Ответы учащихся'!$AH44&lt;&gt;"N",'Ответы учащихся'!$AI44&lt;&gt;"N"),(SUM('Ответы учащихся'!$AF44:$AI44)),"N"),"")),"")</f>
        <v>2</v>
      </c>
      <c r="AC44" s="468">
        <f t="shared" si="6"/>
        <v>16.5</v>
      </c>
      <c r="AD44" s="326">
        <f t="shared" si="7"/>
        <v>0.6875</v>
      </c>
      <c r="AE44" s="327">
        <f t="shared" si="8"/>
        <v>13</v>
      </c>
      <c r="AF44" s="328">
        <f t="shared" si="9"/>
        <v>72.222222222222214</v>
      </c>
      <c r="AG44" s="327">
        <f t="shared" si="10"/>
        <v>3.5</v>
      </c>
      <c r="AH44" s="329">
        <f t="shared" si="11"/>
        <v>58.333333333333336</v>
      </c>
      <c r="AI44" s="456" t="str">
        <f t="shared" si="12"/>
        <v>БАЗОВЫЙ</v>
      </c>
      <c r="AJ44" s="446">
        <f t="shared" si="13"/>
        <v>16.614705882352936</v>
      </c>
      <c r="AK44" s="447">
        <f t="shared" si="14"/>
        <v>0.69227941176470575</v>
      </c>
      <c r="AL44" s="445">
        <v>9</v>
      </c>
      <c r="AM44" s="446">
        <f t="shared" si="15"/>
        <v>77.287581699346404</v>
      </c>
      <c r="AN44" s="442" t="str">
        <f>IF($A44=1,IF(OR(AND($E44=1,'Ответы учащихся'!W44=0.4),AND($E44=2,'Ответы учащихся'!W44=0.4),AND($E44=3,'Ответы учащихся'!W44=0.4),AND($E44=4,'Ответы учащихся'!W44=0.4)),1,IF('Ответы учащихся'!W44="N",'Ответы учащихся'!W44,0)),"")</f>
        <v>N</v>
      </c>
      <c r="AO44" s="434" t="str">
        <f>IF($A44=1,IF(OR(AND($E44=1,'Ответы учащихся'!X44=0.4),AND($E44=2,'Ответы учащихся'!X44=0.4),AND($E44=3,'Ответы учащихся'!X44=0.4),AND($E44=4,'Ответы учащихся'!X44=0.4)),1,IF('Ответы учащихся'!X44="N",'Ответы учащихся'!X44,0)),"")</f>
        <v>N</v>
      </c>
      <c r="AP44" s="434" t="str">
        <f>IF($A44=1,IF(OR(AND($E44=1,'Ответы учащихся'!Y44=0.4),AND($E44=2,'Ответы учащихся'!Y44=0.4),AND($E44=3,'Ответы учащихся'!Y44=0.4),AND($E44=4,'Ответы учащихся'!Y44=0.4)),1,IF('Ответы учащихся'!Y44="N",'Ответы учащихся'!Y44,0)),"")</f>
        <v>N</v>
      </c>
      <c r="AQ44" s="434" t="str">
        <f>IF($A44=1,IF(OR(AND($E44=1,'Ответы учащихся'!Z44=0.4),AND($E44=2,'Ответы учащихся'!Z44=0.4),AND($E44=3,'Ответы учащихся'!Z44=0.4),AND($E44=4,'Ответы учащихся'!Z44=0.4)),1,IF('Ответы учащихся'!Z44="N",'Ответы учащихся'!Z44,0)),"")</f>
        <v>N</v>
      </c>
      <c r="AR44" s="434" t="str">
        <f>IF($A44=1,IF(OR(AND($E44=1,'Ответы учащихся'!AA44=0.4),AND($E44=2,'Ответы учащихся'!AA44=0.4),AND($E44=3,'Ответы учащихся'!AA44=0.4),AND($E44=4,'Ответы учащихся'!AA44=0.4)),1,IF('Ответы учащихся'!AA44="N",'Ответы учащихся'!AA44,0)),"")</f>
        <v>N</v>
      </c>
      <c r="AS44" s="435">
        <f>IF($A44=1,IF(OR(AND($E44=1,'Ответы учащихся'!AB44=0.5),AND($E44=2,'Ответы учащихся'!AB44=0.5),AND($E44=3,'Ответы учащихся'!AB44=0.5),AND($E44=4,'Ответы учащихся'!AB44=0.5)),1,IF('Ответы учащихся'!AB44="N",'Ответы учащихся'!AB44,0)),"")</f>
        <v>0</v>
      </c>
      <c r="AT44" s="435">
        <f>IF($A44=1,IF(OR(AND($E44=1,'Ответы учащихся'!AC44=0.5),AND($E44=2,'Ответы учащихся'!AC44=0.5),AND($E44=3,'Ответы учащихся'!AC44=0.5),AND($E44=4,'Ответы учащихся'!AC44=0.5)),1,IF('Ответы учащихся'!AC44="N",'Ответы учащихся'!AC44,0)),"")</f>
        <v>1</v>
      </c>
      <c r="AU44" s="435">
        <f>IF($A44=1,IF(OR(AND($E44=1,'Ответы учащихся'!AD44=0.5),AND($E44=2,'Ответы учащихся'!AD44=0.5),AND($E44=3,'Ответы учащихся'!AD44=0.5),AND($E44=4,'Ответы учащихся'!AD44=0.5)),1,IF('Ответы учащихся'!AD44="N",'Ответы учащихся'!AD44,0)),"")</f>
        <v>1</v>
      </c>
      <c r="AV44" s="435">
        <f>IF($A44=1,IF(OR(AND($E44=1,'Ответы учащихся'!AE44=0.5),AND($E44=2,'Ответы учащихся'!AE44=0.5),AND($E44=3,'Ответы учащихся'!AE44=0.5),AND($E44=4,'Ответы учащихся'!AE44=0.5)),1,IF('Ответы учащихся'!AE44="N",'Ответы учащихся'!AE44,0)),"")</f>
        <v>1</v>
      </c>
      <c r="AW44" s="436">
        <f>IF($A44=1,IF(OR(AND($E44=1,'Ответы учащихся'!AF44=0.5),AND($E44=2,'Ответы учащихся'!AF44=0.5),AND($E44=3,'Ответы учащихся'!AF44=0.5),AND($E44=4,'Ответы учащихся'!AF44=0.5)),1,IF('Ответы учащихся'!AF44="N",'Ответы учащихся'!AF44,0)),"")</f>
        <v>1</v>
      </c>
      <c r="AX44" s="436">
        <f>IF($A44=1,IF(OR(AND($E44=1,'Ответы учащихся'!AG44=0.5),AND($E44=2,'Ответы учащихся'!AG44=0.5),AND($E44=3,'Ответы учащихся'!AG44=0.5),AND($E44=4,'Ответы учащихся'!AG44=0.5)),1,IF('Ответы учащихся'!AG44="N",'Ответы учащихся'!AG44,0)),"")</f>
        <v>1</v>
      </c>
      <c r="AY44" s="436">
        <f>IF($A44=1,IF(OR(AND($E44=1,'Ответы учащихся'!AH44=0.5),AND($E44=2,'Ответы учащихся'!AH44=0.5),AND($E44=3,'Ответы учащихся'!AH44=0.5),AND($E44=4,'Ответы учащихся'!AH44=0.5)),1,IF('Ответы учащихся'!AH44="N",'Ответы учащихся'!AH44,0)),"")</f>
        <v>1</v>
      </c>
      <c r="AZ44" s="436">
        <f>IF($A44=1,IF(OR(AND($E44=1,'Ответы учащихся'!AI44=0.5),AND($E44=2,'Ответы учащихся'!AI44=0.5),AND($E44=3,'Ответы учащихся'!AI44=0.5),AND($E44=4,'Ответы учащихся'!AI44=0.5)),1,IF('Ответы учащихся'!AI44="N",'Ответы учащихся'!AI44,0)),"")</f>
        <v>1</v>
      </c>
      <c r="BA44" s="429"/>
      <c r="BB44" s="429"/>
      <c r="BC44" s="429"/>
      <c r="BD44" s="429"/>
      <c r="BE44" s="419"/>
      <c r="BF44" s="419"/>
      <c r="BG44" s="6"/>
      <c r="BH44" s="6"/>
      <c r="BI44" s="6"/>
      <c r="BJ44" s="6"/>
    </row>
    <row r="45" spans="1:62" ht="12.75" customHeight="1" x14ac:dyDescent="0.2">
      <c r="A45" s="12">
        <f>IF('СПИСОК КЛАССА'!J45&gt;0,1,0)</f>
        <v>1</v>
      </c>
      <c r="B45" s="100">
        <v>26</v>
      </c>
      <c r="C45" s="101">
        <f>IF(NOT(ISBLANK('СПИСОК КЛАССА'!C45)),'СПИСОК КЛАССА'!C45,"")</f>
        <v>26</v>
      </c>
      <c r="D45" s="134" t="str">
        <f>IF(NOT(ISBLANK('СПИСОК КЛАССА'!D45)),IF($A45=1,'СПИСОК КЛАССА'!D45, "УЧЕНИК НЕ ВЫПОЛНЯЛ РАБОТУ"),"")</f>
        <v/>
      </c>
      <c r="E45" s="459">
        <f>IF($C45&lt;&gt;"",'СПИСОК КЛАССА'!J45,"")</f>
        <v>3</v>
      </c>
      <c r="F45" s="133">
        <f>IF(AND(OR($C45&lt;&gt;"",$D45&lt;&gt;""),$A45=1,$AI$2="ДА"),'Ответы учащихся'!E45,"")</f>
        <v>1</v>
      </c>
      <c r="G45" s="102">
        <f>IF(AND(OR($C45&lt;&gt;"",$D45&lt;&gt;""),$A45=1,$AI$2="ДА"),(IF($A45=1,IF(OR(AND($E45=1,'Ответы учащихся'!F45=2),AND($E45=2,'Ответы учащихся'!F45=4),AND($E45=3,OR('Ответы учащихся'!F45=3,'Ответы учащихся'!F45=4)),AND($E45=4,'Ответы учащихся'!F45=1)),1,IF('Ответы учащихся'!F45="N",'Ответы учащихся'!F45,0)),"")),"")</f>
        <v>1</v>
      </c>
      <c r="H45" s="102">
        <f>IF(AND(OR($C45&lt;&gt;"",$D45&lt;&gt;""),$A45=1,$AI$2="ДА"),(IF($A45=1,IF(OR(AND($E45=1,'Ответы учащихся'!G45=1),AND($E45=2,'Ответы учащихся'!G45=3),AND($E45=3,'Ответы учащихся'!G45=3),AND($E45=4,'Ответы учащихся'!G45=3)),1,IF('Ответы учащихся'!G45="N",'Ответы учащихся'!G45,0)),"")),"")</f>
        <v>1</v>
      </c>
      <c r="I45" s="102">
        <f>IF(AND(OR($C45&lt;&gt;"",$D45&lt;&gt;""),$A45=1,$AI$2="ДА"),(IF($A45=1,IF(OR(AND($E45=1,'Ответы учащихся'!H45=-6),AND($E45=2,'Ответы учащихся'!H45=3),AND($E45=3,'Ответы учащихся'!H45=-8),AND($E45=4,'Ответы учащихся'!H45=-6)),1,IF('Ответы учащихся'!H45="N",'Ответы учащихся'!H45,0)),"")),"")</f>
        <v>1</v>
      </c>
      <c r="J45" s="102">
        <f>IF(AND(OR($C45&lt;&gt;"",$D45&lt;&gt;""),$A45=1,$AI$2="ДА"),(IF($A45=1,IF(OR(AND($E45=1,'Ответы учащихся'!I45=3412),AND($E45=2,'Ответы учащихся'!I45=2314),AND($E45=3,'Ответы учащихся'!I45=3142),AND($E45=4,'Ответы учащихся'!I45=1234)),1,IF('Ответы учащихся'!I45="N",'Ответы учащихся'!I45,0)),"")),"")</f>
        <v>1</v>
      </c>
      <c r="K45" s="102">
        <f>IF(AND(OR($C45&lt;&gt;"",$D45&lt;&gt;""),$A45=1,$AI$2="ДА"),(IF($A45=1,IF(OR(AND($E45=1,'Ответы учащихся'!J45=390),AND($E45=2,'Ответы учащихся'!J45=273),AND($E45=3,'Ответы учащихся'!J45=205),AND($E45=4,'Ответы учащихся'!J45=240)),1,IF('Ответы учащихся'!J45="N",'Ответы учащихся'!J45,0)),"")),"")</f>
        <v>1</v>
      </c>
      <c r="L45" s="102">
        <f>IF(AND(OR($C45&lt;&gt;"",$D45&lt;&gt;""),$A45=1,$AI$2="ДА"),(IF($A45=1,IF(OR(AND($E45=1,'Ответы учащихся'!K45=1),AND($E45=2,'Ответы учащихся'!K45=2),AND($E45=3,'Ответы учащихся'!K45=4),AND($E45=4,'Ответы учащихся'!K45=3)),1,IF('Ответы учащихся'!K45="N",'Ответы учащихся'!K45,0)),"")),"")</f>
        <v>1</v>
      </c>
      <c r="M45" s="102">
        <f>IF(AND(OR($C45&lt;&gt;"",$D45&lt;&gt;""),$A45=1,$AI$2="ДА"),(IF($A45=1,IF(OR(AND($E45=1,'Ответы учащихся'!L45=3),AND($E45=2,'Ответы учащихся'!L45=1),AND($E45=3,'Ответы учащихся'!L45=4),AND($E45=4,'Ответы учащихся'!L45=2)),1,IF('Ответы учащихся'!L45="N",'Ответы учащихся'!L45,0)),"")),"")</f>
        <v>1</v>
      </c>
      <c r="N45" s="102">
        <f>IF(AND(OR($C45&lt;&gt;"",$D45&lt;&gt;""),$A45=1,$AI$2="ДА"),'Ответы учащихся'!M45,"")</f>
        <v>1</v>
      </c>
      <c r="O45" s="102">
        <f>IF(AND(OR($C45&lt;&gt;"",$D45&lt;&gt;""),$A45=1,$AI$2="ДА"),(IF($A45=1,IF(OR(AND($E45=1,'Ответы учащихся'!N45=3),AND($E45=2,'Ответы учащихся'!N45=2),AND($E45=3,'Ответы учащихся'!N45=4),AND($E45=4,'Ответы учащихся'!N45=1)),1,IF('Ответы учащихся'!N45="N",'Ответы учащихся'!N45,0)),"")),"")</f>
        <v>1</v>
      </c>
      <c r="P45" s="102">
        <f>IF(AND(OR($C45&lt;&gt;"",$D45&lt;&gt;""),$A45=1,$AI$2="ДА"),(IF($A45=1,IF(OR(AND($E45=1,'Ответы учащихся'!O45="БВ"),AND($E45=2,'Ответы учащихся'!O45="АВГ"),AND($E45=3,'Ответы учащихся'!O45="БВГ"),AND($E45=4,'Ответы учащихся'!O45="АВ")),1,IF('Ответы учащихся'!O45="N",'Ответы учащихся'!O45,0)),"")),"")</f>
        <v>1</v>
      </c>
      <c r="Q45" s="102">
        <f>IF(AND(OR($C45&lt;&gt;"",$D45&lt;&gt;""),$A45=1,$AI$2="ДА"),(IF($A45=1,IF(OR(AND($E45=1,'Ответы учащихся'!P45=2351),AND($E45=2,'Ответы учащихся'!P45=4132),AND($E45=3,'Ответы учащихся'!P45=3412),AND($E45=4,'Ответы учащихся'!P45=3125)),1,IF('Ответы учащихся'!P45="N",'Ответы учащихся'!P45,0)),"")),"")</f>
        <v>1</v>
      </c>
      <c r="R45" s="102">
        <f>IF(AND(OR($C45&lt;&gt;"",$D45&lt;&gt;""),$A45=1,$AI$2="ДА"),(IF($A45=1,IF(OR(AND($E45=1,'Ответы учащихся'!Q45=2),AND($E45=2,'Ответы учащихся'!Q45=9),AND($E45=3,'Ответы учащихся'!Q45=5),AND($E45=4,'Ответы учащихся'!Q45=2)),1,IF('Ответы учащихся'!Q45="N",'Ответы учащихся'!Q45,0)),"")),"")</f>
        <v>1</v>
      </c>
      <c r="S45" s="102">
        <f>IF(AND(OR($C45&lt;&gt;"",$D45&lt;&gt;""),$A45=1,$AI$2="ДА"),(IF($A45=1,IF(OR(AND($E45=1,'Ответы учащихся'!R45=35),AND($E45=2,'Ответы учащихся'!R45=74),AND($E45=3,'Ответы учащихся'!R45=72),AND($E45=4,'Ответы учащихся'!R45=66)),1,IF('Ответы учащихся'!R45="N",'Ответы учащихся'!R45,0)),"")),"")</f>
        <v>0</v>
      </c>
      <c r="T45" s="102">
        <f>IF(AND(OR($C45&lt;&gt;"",$D45&lt;&gt;""),$A45=1,$AI$2="ДА"),(IF($A45=1,IF(OR(AND($E45=1,'Ответы учащихся'!S45=60),AND($E45=2,'Ответы учащихся'!S45=40),AND($E45=3,'Ответы учащихся'!S45=30),AND($E45=4,'Ответы учащихся'!S45=18)),1,IF('Ответы учащихся'!S45="N",'Ответы учащихся'!S45,0)),"")),"")</f>
        <v>0</v>
      </c>
      <c r="U45" s="102">
        <f>IF(AND(OR($C45&lt;&gt;"",$D45&lt;&gt;""),$A45=1,$AI$2="ДА"),(IF($A45=1,IF(OR(AND($E45=1,'Ответы учащихся'!T45=3),AND($E45=2,'Ответы учащихся'!T45=4),AND($E45=3,'Ответы учащихся'!T45=2),AND($E45=4,'Ответы учащихся'!T45=3)),1,IF('Ответы учащихся'!T45="N",'Ответы учащихся'!T45,0)),"")),"")</f>
        <v>1</v>
      </c>
      <c r="V45" s="102">
        <f>IF(AND(OR($C45&lt;&gt;"",$D45&lt;&gt;""),$A45=1,$AI$2="ДА"),(IF($A45=1,IF(OR(AND($E45=1,'Ответы учащихся'!U45=11),AND($E45=2,'Ответы учащихся'!U45=14),AND($E45=3,'Ответы учащихся'!U45=-2),AND($E45=4,'Ответы учащихся'!U45=25)),1,IF('Ответы учащихся'!U45="N",'Ответы учащихся'!U45,0)),"")),"")</f>
        <v>1</v>
      </c>
      <c r="W45" s="102">
        <f>IF(AND(OR($C45&lt;&gt;"",$D45&lt;&gt;""),$A45=1,$AI$2="ДА"),(IF($A45=1,IF(OR(AND($E45=1,'Ответы учащихся'!V45=3000),AND($E45=2,'Ответы учащихся'!V45=2500),AND($E45=3,'Ответы учащихся'!V45=1500),AND($E45=4,'Ответы учащихся'!V45=1500)),1,IF('Ответы учащихся'!V45="N",'Ответы учащихся'!V45,0)),"")),"")</f>
        <v>1</v>
      </c>
      <c r="X45" s="102"/>
      <c r="Y45" s="102">
        <f>IF(AND(OR($C45&lt;&gt;"",$D45&lt;&gt;""),$A45=1,$AI$2="ДА"),(IF($A45=1,IF(AND('Ответы учащихся'!$W45&lt;&gt;"N",'Ответы учащихся'!$X45&lt;&gt;"N",'Ответы учащихся'!$Y45&lt;&gt;"N",'Ответы учащихся'!$Z45&lt;&gt;"N",'Ответы учащихся'!$AA45&lt;&gt;"N"),(SUM('Ответы учащихся'!$W45:$AA45)),"N"),"")),"")</f>
        <v>2</v>
      </c>
      <c r="Z45" s="102"/>
      <c r="AA45" s="102">
        <f>IF(AND(OR($C45&lt;&gt;"",$D45&lt;&gt;""),$A45=1,$AI$2="ДА"),(IF($A45=1,IF(AND('Ответы учащихся'!$AB45&lt;&gt;"N",'Ответы учащихся'!$AC45&lt;&gt;"N",'Ответы учащихся'!$AD45&lt;&gt;"N",'Ответы учащихся'!$AE45&lt;&gt;"N"),(SUM('Ответы учащихся'!$AB45:$AE45)),"N"),"")),"")</f>
        <v>2</v>
      </c>
      <c r="AB45" s="289">
        <f>IF(AND(OR($C45&lt;&gt;"",$D45&lt;&gt;""),$A45=1,$AI$2="ДА"),(IF($A45=1,IF(AND('Ответы учащихся'!$AF45&lt;&gt;"N",'Ответы учащихся'!$AG45&lt;&gt;"N",'Ответы учащихся'!$AH45&lt;&gt;"N",'Ответы учащихся'!$AI45&lt;&gt;"N"),(SUM('Ответы учащихся'!$AF45:$AI45)),"N"),"")),"")</f>
        <v>2</v>
      </c>
      <c r="AC45" s="468">
        <f t="shared" si="6"/>
        <v>22</v>
      </c>
      <c r="AD45" s="326">
        <f t="shared" si="7"/>
        <v>0.91666666666666663</v>
      </c>
      <c r="AE45" s="327">
        <f t="shared" si="8"/>
        <v>16</v>
      </c>
      <c r="AF45" s="328">
        <f t="shared" si="9"/>
        <v>88.888888888888886</v>
      </c>
      <c r="AG45" s="327">
        <f t="shared" si="10"/>
        <v>6</v>
      </c>
      <c r="AH45" s="329">
        <f t="shared" si="11"/>
        <v>100</v>
      </c>
      <c r="AI45" s="456" t="str">
        <f t="shared" si="12"/>
        <v>ВЫСОКИЙ</v>
      </c>
      <c r="AJ45" s="446">
        <f t="shared" si="13"/>
        <v>16.614705882352936</v>
      </c>
      <c r="AK45" s="447">
        <f t="shared" si="14"/>
        <v>0.69227941176470575</v>
      </c>
      <c r="AL45" s="445">
        <v>9</v>
      </c>
      <c r="AM45" s="446">
        <f t="shared" si="15"/>
        <v>77.287581699346404</v>
      </c>
      <c r="AN45" s="442">
        <f>IF($A45=1,IF(OR(AND($E45=1,'Ответы учащихся'!W45=0.4),AND($E45=2,'Ответы учащихся'!W45=0.4),AND($E45=3,'Ответы учащихся'!W45=0.4),AND($E45=4,'Ответы учащихся'!W45=0.4)),1,IF('Ответы учащихся'!W45="N",'Ответы учащихся'!W45,0)),"")</f>
        <v>1</v>
      </c>
      <c r="AO45" s="434">
        <f>IF($A45=1,IF(OR(AND($E45=1,'Ответы учащихся'!X45=0.4),AND($E45=2,'Ответы учащихся'!X45=0.4),AND($E45=3,'Ответы учащихся'!X45=0.4),AND($E45=4,'Ответы учащихся'!X45=0.4)),1,IF('Ответы учащихся'!X45="N",'Ответы учащихся'!X45,0)),"")</f>
        <v>1</v>
      </c>
      <c r="AP45" s="434">
        <f>IF($A45=1,IF(OR(AND($E45=1,'Ответы учащихся'!Y45=0.4),AND($E45=2,'Ответы учащихся'!Y45=0.4),AND($E45=3,'Ответы учащихся'!Y45=0.4),AND($E45=4,'Ответы учащихся'!Y45=0.4)),1,IF('Ответы учащихся'!Y45="N",'Ответы учащихся'!Y45,0)),"")</f>
        <v>1</v>
      </c>
      <c r="AQ45" s="434">
        <f>IF($A45=1,IF(OR(AND($E45=1,'Ответы учащихся'!Z45=0.4),AND($E45=2,'Ответы учащихся'!Z45=0.4),AND($E45=3,'Ответы учащихся'!Z45=0.4),AND($E45=4,'Ответы учащихся'!Z45=0.4)),1,IF('Ответы учащихся'!Z45="N",'Ответы учащихся'!Z45,0)),"")</f>
        <v>1</v>
      </c>
      <c r="AR45" s="434">
        <f>IF($A45=1,IF(OR(AND($E45=1,'Ответы учащихся'!AA45=0.4),AND($E45=2,'Ответы учащихся'!AA45=0.4),AND($E45=3,'Ответы учащихся'!AA45=0.4),AND($E45=4,'Ответы учащихся'!AA45=0.4)),1,IF('Ответы учащихся'!AA45="N",'Ответы учащихся'!AA45,0)),"")</f>
        <v>1</v>
      </c>
      <c r="AS45" s="435">
        <f>IF($A45=1,IF(OR(AND($E45=1,'Ответы учащихся'!AB45=0.5),AND($E45=2,'Ответы учащихся'!AB45=0.5),AND($E45=3,'Ответы учащихся'!AB45=0.5),AND($E45=4,'Ответы учащихся'!AB45=0.5)),1,IF('Ответы учащихся'!AB45="N",'Ответы учащихся'!AB45,0)),"")</f>
        <v>1</v>
      </c>
      <c r="AT45" s="435">
        <f>IF($A45=1,IF(OR(AND($E45=1,'Ответы учащихся'!AC45=0.5),AND($E45=2,'Ответы учащихся'!AC45=0.5),AND($E45=3,'Ответы учащихся'!AC45=0.5),AND($E45=4,'Ответы учащихся'!AC45=0.5)),1,IF('Ответы учащихся'!AC45="N",'Ответы учащихся'!AC45,0)),"")</f>
        <v>1</v>
      </c>
      <c r="AU45" s="435">
        <f>IF($A45=1,IF(OR(AND($E45=1,'Ответы учащихся'!AD45=0.5),AND($E45=2,'Ответы учащихся'!AD45=0.5),AND($E45=3,'Ответы учащихся'!AD45=0.5),AND($E45=4,'Ответы учащихся'!AD45=0.5)),1,IF('Ответы учащихся'!AD45="N",'Ответы учащихся'!AD45,0)),"")</f>
        <v>1</v>
      </c>
      <c r="AV45" s="435">
        <f>IF($A45=1,IF(OR(AND($E45=1,'Ответы учащихся'!AE45=0.5),AND($E45=2,'Ответы учащихся'!AE45=0.5),AND($E45=3,'Ответы учащихся'!AE45=0.5),AND($E45=4,'Ответы учащихся'!AE45=0.5)),1,IF('Ответы учащихся'!AE45="N",'Ответы учащихся'!AE45,0)),"")</f>
        <v>1</v>
      </c>
      <c r="AW45" s="436">
        <f>IF($A45=1,IF(OR(AND($E45=1,'Ответы учащихся'!AF45=0.5),AND($E45=2,'Ответы учащихся'!AF45=0.5),AND($E45=3,'Ответы учащихся'!AF45=0.5),AND($E45=4,'Ответы учащихся'!AF45=0.5)),1,IF('Ответы учащихся'!AF45="N",'Ответы учащихся'!AF45,0)),"")</f>
        <v>1</v>
      </c>
      <c r="AX45" s="436">
        <f>IF($A45=1,IF(OR(AND($E45=1,'Ответы учащихся'!AG45=0.5),AND($E45=2,'Ответы учащихся'!AG45=0.5),AND($E45=3,'Ответы учащихся'!AG45=0.5),AND($E45=4,'Ответы учащихся'!AG45=0.5)),1,IF('Ответы учащихся'!AG45="N",'Ответы учащихся'!AG45,0)),"")</f>
        <v>1</v>
      </c>
      <c r="AY45" s="436">
        <f>IF($A45=1,IF(OR(AND($E45=1,'Ответы учащихся'!AH45=0.5),AND($E45=2,'Ответы учащихся'!AH45=0.5),AND($E45=3,'Ответы учащихся'!AH45=0.5),AND($E45=4,'Ответы учащихся'!AH45=0.5)),1,IF('Ответы учащихся'!AH45="N",'Ответы учащихся'!AH45,0)),"")</f>
        <v>1</v>
      </c>
      <c r="AZ45" s="436">
        <f>IF($A45=1,IF(OR(AND($E45=1,'Ответы учащихся'!AI45=0.5),AND($E45=2,'Ответы учащихся'!AI45=0.5),AND($E45=3,'Ответы учащихся'!AI45=0.5),AND($E45=4,'Ответы учащихся'!AI45=0.5)),1,IF('Ответы учащихся'!AI45="N",'Ответы учащихся'!AI45,0)),"")</f>
        <v>1</v>
      </c>
      <c r="BA45" s="429"/>
      <c r="BB45" s="429"/>
      <c r="BC45" s="429"/>
      <c r="BD45" s="429"/>
      <c r="BE45" s="419"/>
      <c r="BF45" s="419"/>
      <c r="BG45" s="6"/>
      <c r="BH45" s="6"/>
      <c r="BI45" s="6"/>
      <c r="BJ45" s="6"/>
    </row>
    <row r="46" spans="1:62" ht="12.75" customHeight="1" x14ac:dyDescent="0.2">
      <c r="A46" s="12">
        <f>IF('СПИСОК КЛАССА'!J46&gt;0,1,0)</f>
        <v>1</v>
      </c>
      <c r="B46" s="100">
        <v>27</v>
      </c>
      <c r="C46" s="101">
        <f>IF(NOT(ISBLANK('СПИСОК КЛАССА'!C46)),'СПИСОК КЛАССА'!C46,"")</f>
        <v>27</v>
      </c>
      <c r="D46" s="134" t="str">
        <f>IF(NOT(ISBLANK('СПИСОК КЛАССА'!D46)),IF($A46=1,'СПИСОК КЛАССА'!D46, "УЧЕНИК НЕ ВЫПОЛНЯЛ РАБОТУ"),"")</f>
        <v/>
      </c>
      <c r="E46" s="459">
        <f>IF($C46&lt;&gt;"",'СПИСОК КЛАССА'!J46,"")</f>
        <v>2</v>
      </c>
      <c r="F46" s="133">
        <f>IF(AND(OR($C46&lt;&gt;"",$D46&lt;&gt;""),$A46=1,$AI$2="ДА"),'Ответы учащихся'!E46,"")</f>
        <v>1</v>
      </c>
      <c r="G46" s="102">
        <f>IF(AND(OR($C46&lt;&gt;"",$D46&lt;&gt;""),$A46=1,$AI$2="ДА"),(IF($A46=1,IF(OR(AND($E46=1,'Ответы учащихся'!F46=2),AND($E46=2,'Ответы учащихся'!F46=4),AND($E46=3,OR('Ответы учащихся'!F46=3,'Ответы учащихся'!F46=4)),AND($E46=4,'Ответы учащихся'!F46=1)),1,IF('Ответы учащихся'!F46="N",'Ответы учащихся'!F46,0)),"")),"")</f>
        <v>1</v>
      </c>
      <c r="H46" s="102">
        <f>IF(AND(OR($C46&lt;&gt;"",$D46&lt;&gt;""),$A46=1,$AI$2="ДА"),(IF($A46=1,IF(OR(AND($E46=1,'Ответы учащихся'!G46=1),AND($E46=2,'Ответы учащихся'!G46=3),AND($E46=3,'Ответы учащихся'!G46=3),AND($E46=4,'Ответы учащихся'!G46=3)),1,IF('Ответы учащихся'!G46="N",'Ответы учащихся'!G46,0)),"")),"")</f>
        <v>1</v>
      </c>
      <c r="I46" s="102">
        <f>IF(AND(OR($C46&lt;&gt;"",$D46&lt;&gt;""),$A46=1,$AI$2="ДА"),(IF($A46=1,IF(OR(AND($E46=1,'Ответы учащихся'!H46=-6),AND($E46=2,'Ответы учащихся'!H46=3),AND($E46=3,'Ответы учащихся'!H46=-8),AND($E46=4,'Ответы учащихся'!H46=-6)),1,IF('Ответы учащихся'!H46="N",'Ответы учащихся'!H46,0)),"")),"")</f>
        <v>1</v>
      </c>
      <c r="J46" s="102">
        <f>IF(AND(OR($C46&lt;&gt;"",$D46&lt;&gt;""),$A46=1,$AI$2="ДА"),(IF($A46=1,IF(OR(AND($E46=1,'Ответы учащихся'!I46=3412),AND($E46=2,'Ответы учащихся'!I46=2314),AND($E46=3,'Ответы учащихся'!I46=3142),AND($E46=4,'Ответы учащихся'!I46=1234)),1,IF('Ответы учащихся'!I46="N",'Ответы учащихся'!I46,0)),"")),"")</f>
        <v>1</v>
      </c>
      <c r="K46" s="102">
        <f>IF(AND(OR($C46&lt;&gt;"",$D46&lt;&gt;""),$A46=1,$AI$2="ДА"),(IF($A46=1,IF(OR(AND($E46=1,'Ответы учащихся'!J46=390),AND($E46=2,'Ответы учащихся'!J46=273),AND($E46=3,'Ответы учащихся'!J46=205),AND($E46=4,'Ответы учащихся'!J46=240)),1,IF('Ответы учащихся'!J46="N",'Ответы учащихся'!J46,0)),"")),"")</f>
        <v>1</v>
      </c>
      <c r="L46" s="102">
        <f>IF(AND(OR($C46&lt;&gt;"",$D46&lt;&gt;""),$A46=1,$AI$2="ДА"),(IF($A46=1,IF(OR(AND($E46=1,'Ответы учащихся'!K46=1),AND($E46=2,'Ответы учащихся'!K46=2),AND($E46=3,'Ответы учащихся'!K46=4),AND($E46=4,'Ответы учащихся'!K46=3)),1,IF('Ответы учащихся'!K46="N",'Ответы учащихся'!K46,0)),"")),"")</f>
        <v>1</v>
      </c>
      <c r="M46" s="102" t="str">
        <f>IF(AND(OR($C46&lt;&gt;"",$D46&lt;&gt;""),$A46=1,$AI$2="ДА"),(IF($A46=1,IF(OR(AND($E46=1,'Ответы учащихся'!L46=3),AND($E46=2,'Ответы учащихся'!L46=1),AND($E46=3,'Ответы учащихся'!L46=4),AND($E46=4,'Ответы учащихся'!L46=2)),1,IF('Ответы учащихся'!L46="N",'Ответы учащихся'!L46,0)),"")),"")</f>
        <v>N</v>
      </c>
      <c r="N46" s="102">
        <f>IF(AND(OR($C46&lt;&gt;"",$D46&lt;&gt;""),$A46=1,$AI$2="ДА"),'Ответы учащихся'!M46,"")</f>
        <v>1</v>
      </c>
      <c r="O46" s="102">
        <f>IF(AND(OR($C46&lt;&gt;"",$D46&lt;&gt;""),$A46=1,$AI$2="ДА"),(IF($A46=1,IF(OR(AND($E46=1,'Ответы учащихся'!N46=3),AND($E46=2,'Ответы учащихся'!N46=2),AND($E46=3,'Ответы учащихся'!N46=4),AND($E46=4,'Ответы учащихся'!N46=1)),1,IF('Ответы учащихся'!N46="N",'Ответы учащихся'!N46,0)),"")),"")</f>
        <v>1</v>
      </c>
      <c r="P46" s="102">
        <f>IF(AND(OR($C46&lt;&gt;"",$D46&lt;&gt;""),$A46=1,$AI$2="ДА"),(IF($A46=1,IF(OR(AND($E46=1,'Ответы учащихся'!O46="БВ"),AND($E46=2,'Ответы учащихся'!O46="АВГ"),AND($E46=3,'Ответы учащихся'!O46="БВГ"),AND($E46=4,'Ответы учащихся'!O46="АВ")),1,IF('Ответы учащихся'!O46="N",'Ответы учащихся'!O46,0)),"")),"")</f>
        <v>0</v>
      </c>
      <c r="Q46" s="102">
        <f>IF(AND(OR($C46&lt;&gt;"",$D46&lt;&gt;""),$A46=1,$AI$2="ДА"),(IF($A46=1,IF(OR(AND($E46=1,'Ответы учащихся'!P46=2351),AND($E46=2,'Ответы учащихся'!P46=4132),AND($E46=3,'Ответы учащихся'!P46=3412),AND($E46=4,'Ответы учащихся'!P46=3125)),1,IF('Ответы учащихся'!P46="N",'Ответы учащихся'!P46,0)),"")),"")</f>
        <v>1</v>
      </c>
      <c r="R46" s="102">
        <f>IF(AND(OR($C46&lt;&gt;"",$D46&lt;&gt;""),$A46=1,$AI$2="ДА"),(IF($A46=1,IF(OR(AND($E46=1,'Ответы учащихся'!Q46=2),AND($E46=2,'Ответы учащихся'!Q46=9),AND($E46=3,'Ответы учащихся'!Q46=5),AND($E46=4,'Ответы учащихся'!Q46=2)),1,IF('Ответы учащихся'!Q46="N",'Ответы учащихся'!Q46,0)),"")),"")</f>
        <v>1</v>
      </c>
      <c r="S46" s="102">
        <f>IF(AND(OR($C46&lt;&gt;"",$D46&lt;&gt;""),$A46=1,$AI$2="ДА"),(IF($A46=1,IF(OR(AND($E46=1,'Ответы учащихся'!R46=35),AND($E46=2,'Ответы учащихся'!R46=74),AND($E46=3,'Ответы учащихся'!R46=72),AND($E46=4,'Ответы учащихся'!R46=66)),1,IF('Ответы учащихся'!R46="N",'Ответы учащихся'!R46,0)),"")),"")</f>
        <v>1</v>
      </c>
      <c r="T46" s="102">
        <f>IF(AND(OR($C46&lt;&gt;"",$D46&lt;&gt;""),$A46=1,$AI$2="ДА"),(IF($A46=1,IF(OR(AND($E46=1,'Ответы учащихся'!S46=60),AND($E46=2,'Ответы учащихся'!S46=40),AND($E46=3,'Ответы учащихся'!S46=30),AND($E46=4,'Ответы учащихся'!S46=18)),1,IF('Ответы учащихся'!S46="N",'Ответы учащихся'!S46,0)),"")),"")</f>
        <v>0</v>
      </c>
      <c r="U46" s="102">
        <f>IF(AND(OR($C46&lt;&gt;"",$D46&lt;&gt;""),$A46=1,$AI$2="ДА"),(IF($A46=1,IF(OR(AND($E46=1,'Ответы учащихся'!T46=3),AND($E46=2,'Ответы учащихся'!T46=4),AND($E46=3,'Ответы учащихся'!T46=2),AND($E46=4,'Ответы учащихся'!T46=3)),1,IF('Ответы учащихся'!T46="N",'Ответы учащихся'!T46,0)),"")),"")</f>
        <v>1</v>
      </c>
      <c r="V46" s="102">
        <f>IF(AND(OR($C46&lt;&gt;"",$D46&lt;&gt;""),$A46=1,$AI$2="ДА"),(IF($A46=1,IF(OR(AND($E46=1,'Ответы учащихся'!U46=11),AND($E46=2,'Ответы учащихся'!U46=14),AND($E46=3,'Ответы учащихся'!U46=-2),AND($E46=4,'Ответы учащихся'!U46=25)),1,IF('Ответы учащихся'!U46="N",'Ответы учащихся'!U46,0)),"")),"")</f>
        <v>1</v>
      </c>
      <c r="W46" s="102">
        <f>IF(AND(OR($C46&lt;&gt;"",$D46&lt;&gt;""),$A46=1,$AI$2="ДА"),(IF($A46=1,IF(OR(AND($E46=1,'Ответы учащихся'!V46=3000),AND($E46=2,'Ответы учащихся'!V46=2500),AND($E46=3,'Ответы учащихся'!V46=1500),AND($E46=4,'Ответы учащихся'!V46=1500)),1,IF('Ответы учащихся'!V46="N",'Ответы учащихся'!V46,0)),"")),"")</f>
        <v>1</v>
      </c>
      <c r="X46" s="102"/>
      <c r="Y46" s="102">
        <f>IF(AND(OR($C46&lt;&gt;"",$D46&lt;&gt;""),$A46=1,$AI$2="ДА"),(IF($A46=1,IF(AND('Ответы учащихся'!$W46&lt;&gt;"N",'Ответы учащихся'!$X46&lt;&gt;"N",'Ответы учащихся'!$Y46&lt;&gt;"N",'Ответы учащихся'!$Z46&lt;&gt;"N",'Ответы учащихся'!$AA46&lt;&gt;"N"),(SUM('Ответы учащихся'!$W46:$AA46)),"N"),"")),"")</f>
        <v>1.2000000000000002</v>
      </c>
      <c r="Z46" s="102"/>
      <c r="AA46" s="102">
        <f>IF(AND(OR($C46&lt;&gt;"",$D46&lt;&gt;""),$A46=1,$AI$2="ДА"),(IF($A46=1,IF(AND('Ответы учащихся'!$AB46&lt;&gt;"N",'Ответы учащихся'!$AC46&lt;&gt;"N",'Ответы учащихся'!$AD46&lt;&gt;"N",'Ответы учащихся'!$AE46&lt;&gt;"N"),(SUM('Ответы учащихся'!$AB46:$AE46)),"N"),"")),"")</f>
        <v>2</v>
      </c>
      <c r="AB46" s="289" t="str">
        <f>IF(AND(OR($C46&lt;&gt;"",$D46&lt;&gt;""),$A46=1,$AI$2="ДА"),(IF($A46=1,IF(AND('Ответы учащихся'!$AF46&lt;&gt;"N",'Ответы учащихся'!$AG46&lt;&gt;"N",'Ответы учащихся'!$AH46&lt;&gt;"N",'Ответы учащихся'!$AI46&lt;&gt;"N"),(SUM('Ответы учащихся'!$AF46:$AI46)),"N"),"")),"")</f>
        <v>N</v>
      </c>
      <c r="AC46" s="468">
        <f t="shared" si="6"/>
        <v>18.2</v>
      </c>
      <c r="AD46" s="326">
        <f t="shared" si="7"/>
        <v>0.7583333333333333</v>
      </c>
      <c r="AE46" s="327">
        <f t="shared" si="8"/>
        <v>15</v>
      </c>
      <c r="AF46" s="328">
        <f t="shared" si="9"/>
        <v>83.333333333333343</v>
      </c>
      <c r="AG46" s="327">
        <f t="shared" si="10"/>
        <v>3.2</v>
      </c>
      <c r="AH46" s="329">
        <f t="shared" si="11"/>
        <v>53.333333333333336</v>
      </c>
      <c r="AI46" s="456" t="str">
        <f t="shared" si="12"/>
        <v>ПОВЫШЕННЫЙ</v>
      </c>
      <c r="AJ46" s="446">
        <f t="shared" si="13"/>
        <v>16.614705882352936</v>
      </c>
      <c r="AK46" s="447">
        <f t="shared" si="14"/>
        <v>0.69227941176470575</v>
      </c>
      <c r="AL46" s="445">
        <v>9</v>
      </c>
      <c r="AM46" s="446">
        <f t="shared" si="15"/>
        <v>77.287581699346404</v>
      </c>
      <c r="AN46" s="442">
        <f>IF($A46=1,IF(OR(AND($E46=1,'Ответы учащихся'!W46=0.4),AND($E46=2,'Ответы учащихся'!W46=0.4),AND($E46=3,'Ответы учащихся'!W46=0.4),AND($E46=4,'Ответы учащихся'!W46=0.4)),1,IF('Ответы учащихся'!W46="N",'Ответы учащихся'!W46,0)),"")</f>
        <v>1</v>
      </c>
      <c r="AO46" s="434">
        <f>IF($A46=1,IF(OR(AND($E46=1,'Ответы учащихся'!X46=0.4),AND($E46=2,'Ответы учащихся'!X46=0.4),AND($E46=3,'Ответы учащихся'!X46=0.4),AND($E46=4,'Ответы учащихся'!X46=0.4)),1,IF('Ответы учащихся'!X46="N",'Ответы учащихся'!X46,0)),"")</f>
        <v>1</v>
      </c>
      <c r="AP46" s="434">
        <f>IF($A46=1,IF(OR(AND($E46=1,'Ответы учащихся'!Y46=0.4),AND($E46=2,'Ответы учащихся'!Y46=0.4),AND($E46=3,'Ответы учащихся'!Y46=0.4),AND($E46=4,'Ответы учащихся'!Y46=0.4)),1,IF('Ответы учащихся'!Y46="N",'Ответы учащихся'!Y46,0)),"")</f>
        <v>1</v>
      </c>
      <c r="AQ46" s="434">
        <f>IF($A46=1,IF(OR(AND($E46=1,'Ответы учащихся'!Z46=0.4),AND($E46=2,'Ответы учащихся'!Z46=0.4),AND($E46=3,'Ответы учащихся'!Z46=0.4),AND($E46=4,'Ответы учащихся'!Z46=0.4)),1,IF('Ответы учащихся'!Z46="N",'Ответы учащихся'!Z46,0)),"")</f>
        <v>0</v>
      </c>
      <c r="AR46" s="434">
        <f>IF($A46=1,IF(OR(AND($E46=1,'Ответы учащихся'!AA46=0.4),AND($E46=2,'Ответы учащихся'!AA46=0.4),AND($E46=3,'Ответы учащихся'!AA46=0.4),AND($E46=4,'Ответы учащихся'!AA46=0.4)),1,IF('Ответы учащихся'!AA46="N",'Ответы учащихся'!AA46,0)),"")</f>
        <v>0</v>
      </c>
      <c r="AS46" s="435">
        <f>IF($A46=1,IF(OR(AND($E46=1,'Ответы учащихся'!AB46=0.5),AND($E46=2,'Ответы учащихся'!AB46=0.5),AND($E46=3,'Ответы учащихся'!AB46=0.5),AND($E46=4,'Ответы учащихся'!AB46=0.5)),1,IF('Ответы учащихся'!AB46="N",'Ответы учащихся'!AB46,0)),"")</f>
        <v>1</v>
      </c>
      <c r="AT46" s="435">
        <f>IF($A46=1,IF(OR(AND($E46=1,'Ответы учащихся'!AC46=0.5),AND($E46=2,'Ответы учащихся'!AC46=0.5),AND($E46=3,'Ответы учащихся'!AC46=0.5),AND($E46=4,'Ответы учащихся'!AC46=0.5)),1,IF('Ответы учащихся'!AC46="N",'Ответы учащихся'!AC46,0)),"")</f>
        <v>1</v>
      </c>
      <c r="AU46" s="435">
        <f>IF($A46=1,IF(OR(AND($E46=1,'Ответы учащихся'!AD46=0.5),AND($E46=2,'Ответы учащихся'!AD46=0.5),AND($E46=3,'Ответы учащихся'!AD46=0.5),AND($E46=4,'Ответы учащихся'!AD46=0.5)),1,IF('Ответы учащихся'!AD46="N",'Ответы учащихся'!AD46,0)),"")</f>
        <v>1</v>
      </c>
      <c r="AV46" s="435">
        <f>IF($A46=1,IF(OR(AND($E46=1,'Ответы учащихся'!AE46=0.5),AND($E46=2,'Ответы учащихся'!AE46=0.5),AND($E46=3,'Ответы учащихся'!AE46=0.5),AND($E46=4,'Ответы учащихся'!AE46=0.5)),1,IF('Ответы учащихся'!AE46="N",'Ответы учащихся'!AE46,0)),"")</f>
        <v>1</v>
      </c>
      <c r="AW46" s="436" t="str">
        <f>IF($A46=1,IF(OR(AND($E46=1,'Ответы учащихся'!AF46=0.5),AND($E46=2,'Ответы учащихся'!AF46=0.5),AND($E46=3,'Ответы учащихся'!AF46=0.5),AND($E46=4,'Ответы учащихся'!AF46=0.5)),1,IF('Ответы учащихся'!AF46="N",'Ответы учащихся'!AF46,0)),"")</f>
        <v>N</v>
      </c>
      <c r="AX46" s="436" t="str">
        <f>IF($A46=1,IF(OR(AND($E46=1,'Ответы учащихся'!AG46=0.5),AND($E46=2,'Ответы учащихся'!AG46=0.5),AND($E46=3,'Ответы учащихся'!AG46=0.5),AND($E46=4,'Ответы учащихся'!AG46=0.5)),1,IF('Ответы учащихся'!AG46="N",'Ответы учащихся'!AG46,0)),"")</f>
        <v>N</v>
      </c>
      <c r="AY46" s="436" t="str">
        <f>IF($A46=1,IF(OR(AND($E46=1,'Ответы учащихся'!AH46=0.5),AND($E46=2,'Ответы учащихся'!AH46=0.5),AND($E46=3,'Ответы учащихся'!AH46=0.5),AND($E46=4,'Ответы учащихся'!AH46=0.5)),1,IF('Ответы учащихся'!AH46="N",'Ответы учащихся'!AH46,0)),"")</f>
        <v>N</v>
      </c>
      <c r="AZ46" s="436" t="str">
        <f>IF($A46=1,IF(OR(AND($E46=1,'Ответы учащихся'!AI46=0.5),AND($E46=2,'Ответы учащихся'!AI46=0.5),AND($E46=3,'Ответы учащихся'!AI46=0.5),AND($E46=4,'Ответы учащихся'!AI46=0.5)),1,IF('Ответы учащихся'!AI46="N",'Ответы учащихся'!AI46,0)),"")</f>
        <v>N</v>
      </c>
      <c r="BA46" s="429"/>
      <c r="BB46" s="429"/>
      <c r="BC46" s="429"/>
      <c r="BD46" s="429"/>
      <c r="BE46" s="419"/>
      <c r="BF46" s="419"/>
      <c r="BG46" s="6"/>
      <c r="BH46" s="6"/>
      <c r="BI46" s="6"/>
      <c r="BJ46" s="6"/>
    </row>
    <row r="47" spans="1:62" ht="12.75" customHeight="1" x14ac:dyDescent="0.2">
      <c r="A47" s="12">
        <f>IF('СПИСОК КЛАССА'!J47&gt;0,1,0)</f>
        <v>1</v>
      </c>
      <c r="B47" s="100">
        <v>28</v>
      </c>
      <c r="C47" s="101">
        <f>IF(NOT(ISBLANK('СПИСОК КЛАССА'!C47)),'СПИСОК КЛАССА'!C47,"")</f>
        <v>28</v>
      </c>
      <c r="D47" s="134" t="str">
        <f>IF(NOT(ISBLANK('СПИСОК КЛАССА'!D47)),IF($A47=1,'СПИСОК КЛАССА'!D47, "УЧЕНИК НЕ ВЫПОЛНЯЛ РАБОТУ"),"")</f>
        <v/>
      </c>
      <c r="E47" s="460">
        <f>IF($C47&lt;&gt;"",'СПИСОК КЛАССА'!J47,"")</f>
        <v>1</v>
      </c>
      <c r="F47" s="133">
        <f>IF(AND(OR($C47&lt;&gt;"",$D47&lt;&gt;""),$A47=1,$AI$2="ДА"),'Ответы учащихся'!E47,"")</f>
        <v>1</v>
      </c>
      <c r="G47" s="102">
        <f>IF(AND(OR($C47&lt;&gt;"",$D47&lt;&gt;""),$A47=1,$AI$2="ДА"),(IF($A47=1,IF(OR(AND($E47=1,'Ответы учащихся'!F47=2),AND($E47=2,'Ответы учащихся'!F47=4),AND($E47=3,OR('Ответы учащихся'!F47=3,'Ответы учащихся'!F47=4)),AND($E47=4,'Ответы учащихся'!F47=1)),1,IF('Ответы учащихся'!F47="N",'Ответы учащихся'!F47,0)),"")),"")</f>
        <v>1</v>
      </c>
      <c r="H47" s="102">
        <f>IF(AND(OR($C47&lt;&gt;"",$D47&lt;&gt;""),$A47=1,$AI$2="ДА"),(IF($A47=1,IF(OR(AND($E47=1,'Ответы учащихся'!G47=1),AND($E47=2,'Ответы учащихся'!G47=3),AND($E47=3,'Ответы учащихся'!G47=3),AND($E47=4,'Ответы учащихся'!G47=3)),1,IF('Ответы учащихся'!G47="N",'Ответы учащихся'!G47,0)),"")),"")</f>
        <v>1</v>
      </c>
      <c r="I47" s="102">
        <f>IF(AND(OR($C47&lt;&gt;"",$D47&lt;&gt;""),$A47=1,$AI$2="ДА"),(IF($A47=1,IF(OR(AND($E47=1,'Ответы учащихся'!H47=-6),AND($E47=2,'Ответы учащихся'!H47=3),AND($E47=3,'Ответы учащихся'!H47=-8),AND($E47=4,'Ответы учащихся'!H47=-6)),1,IF('Ответы учащихся'!H47="N",'Ответы учащихся'!H47,0)),"")),"")</f>
        <v>1</v>
      </c>
      <c r="J47" s="102">
        <f>IF(AND(OR($C47&lt;&gt;"",$D47&lt;&gt;""),$A47=1,$AI$2="ДА"),(IF($A47=1,IF(OR(AND($E47=1,'Ответы учащихся'!I47=3412),AND($E47=2,'Ответы учащихся'!I47=2314),AND($E47=3,'Ответы учащихся'!I47=3142),AND($E47=4,'Ответы учащихся'!I47=1234)),1,IF('Ответы учащихся'!I47="N",'Ответы учащихся'!I47,0)),"")),"")</f>
        <v>1</v>
      </c>
      <c r="K47" s="102">
        <f>IF(AND(OR($C47&lt;&gt;"",$D47&lt;&gt;""),$A47=1,$AI$2="ДА"),(IF($A47=1,IF(OR(AND($E47=1,'Ответы учащихся'!J47=390),AND($E47=2,'Ответы учащихся'!J47=273),AND($E47=3,'Ответы учащихся'!J47=205),AND($E47=4,'Ответы учащихся'!J47=240)),1,IF('Ответы учащихся'!J47="N",'Ответы учащихся'!J47,0)),"")),"")</f>
        <v>1</v>
      </c>
      <c r="L47" s="102">
        <f>IF(AND(OR($C47&lt;&gt;"",$D47&lt;&gt;""),$A47=1,$AI$2="ДА"),(IF($A47=1,IF(OR(AND($E47=1,'Ответы учащихся'!K47=1),AND($E47=2,'Ответы учащихся'!K47=2),AND($E47=3,'Ответы учащихся'!K47=4),AND($E47=4,'Ответы учащихся'!K47=3)),1,IF('Ответы учащихся'!K47="N",'Ответы учащихся'!K47,0)),"")),"")</f>
        <v>0</v>
      </c>
      <c r="M47" s="102">
        <f>IF(AND(OR($C47&lt;&gt;"",$D47&lt;&gt;""),$A47=1,$AI$2="ДА"),(IF($A47=1,IF(OR(AND($E47=1,'Ответы учащихся'!L47=3),AND($E47=2,'Ответы учащихся'!L47=1),AND($E47=3,'Ответы учащихся'!L47=4),AND($E47=4,'Ответы учащихся'!L47=2)),1,IF('Ответы учащихся'!L47="N",'Ответы учащихся'!L47,0)),"")),"")</f>
        <v>1</v>
      </c>
      <c r="N47" s="102">
        <f>IF(AND(OR($C47&lt;&gt;"",$D47&lt;&gt;""),$A47=1,$AI$2="ДА"),'Ответы учащихся'!M47,"")</f>
        <v>1</v>
      </c>
      <c r="O47" s="102">
        <f>IF(AND(OR($C47&lt;&gt;"",$D47&lt;&gt;""),$A47=1,$AI$2="ДА"),(IF($A47=1,IF(OR(AND($E47=1,'Ответы учащихся'!N47=3),AND($E47=2,'Ответы учащихся'!N47=2),AND($E47=3,'Ответы учащихся'!N47=4),AND($E47=4,'Ответы учащихся'!N47=1)),1,IF('Ответы учащихся'!N47="N",'Ответы учащихся'!N47,0)),"")),"")</f>
        <v>1</v>
      </c>
      <c r="P47" s="102">
        <f>IF(AND(OR($C47&lt;&gt;"",$D47&lt;&gt;""),$A47=1,$AI$2="ДА"),(IF($A47=1,IF(OR(AND($E47=1,'Ответы учащихся'!O47="БВ"),AND($E47=2,'Ответы учащихся'!O47="АВГ"),AND($E47=3,'Ответы учащихся'!O47="БВГ"),AND($E47=4,'Ответы учащихся'!O47="АВ")),1,IF('Ответы учащихся'!O47="N",'Ответы учащихся'!O47,0)),"")),"")</f>
        <v>0</v>
      </c>
      <c r="Q47" s="102">
        <f>IF(AND(OR($C47&lt;&gt;"",$D47&lt;&gt;""),$A47=1,$AI$2="ДА"),(IF($A47=1,IF(OR(AND($E47=1,'Ответы учащихся'!P47=2351),AND($E47=2,'Ответы учащихся'!P47=4132),AND($E47=3,'Ответы учащихся'!P47=3412),AND($E47=4,'Ответы учащихся'!P47=3125)),1,IF('Ответы учащихся'!P47="N",'Ответы учащихся'!P47,0)),"")),"")</f>
        <v>1</v>
      </c>
      <c r="R47" s="102">
        <f>IF(AND(OR($C47&lt;&gt;"",$D47&lt;&gt;""),$A47=1,$AI$2="ДА"),(IF($A47=1,IF(OR(AND($E47=1,'Ответы учащихся'!Q47=2),AND($E47=2,'Ответы учащихся'!Q47=9),AND($E47=3,'Ответы учащихся'!Q47=5),AND($E47=4,'Ответы учащихся'!Q47=2)),1,IF('Ответы учащихся'!Q47="N",'Ответы учащихся'!Q47,0)),"")),"")</f>
        <v>1</v>
      </c>
      <c r="S47" s="102">
        <f>IF(AND(OR($C47&lt;&gt;"",$D47&lt;&gt;""),$A47=1,$AI$2="ДА"),(IF($A47=1,IF(OR(AND($E47=1,'Ответы учащихся'!R47=35),AND($E47=2,'Ответы учащихся'!R47=74),AND($E47=3,'Ответы учащихся'!R47=72),AND($E47=4,'Ответы учащихся'!R47=66)),1,IF('Ответы учащихся'!R47="N",'Ответы учащихся'!R47,0)),"")),"")</f>
        <v>1</v>
      </c>
      <c r="T47" s="102">
        <f>IF(AND(OR($C47&lt;&gt;"",$D47&lt;&gt;""),$A47=1,$AI$2="ДА"),(IF($A47=1,IF(OR(AND($E47=1,'Ответы учащихся'!S47=60),AND($E47=2,'Ответы учащихся'!S47=40),AND($E47=3,'Ответы учащихся'!S47=30),AND($E47=4,'Ответы учащихся'!S47=18)),1,IF('Ответы учащихся'!S47="N",'Ответы учащихся'!S47,0)),"")),"")</f>
        <v>0</v>
      </c>
      <c r="U47" s="102">
        <f>IF(AND(OR($C47&lt;&gt;"",$D47&lt;&gt;""),$A47=1,$AI$2="ДА"),(IF($A47=1,IF(OR(AND($E47=1,'Ответы учащихся'!T47=3),AND($E47=2,'Ответы учащихся'!T47=4),AND($E47=3,'Ответы учащихся'!T47=2),AND($E47=4,'Ответы учащихся'!T47=3)),1,IF('Ответы учащихся'!T47="N",'Ответы учащихся'!T47,0)),"")),"")</f>
        <v>0</v>
      </c>
      <c r="V47" s="102">
        <f>IF(AND(OR($C47&lt;&gt;"",$D47&lt;&gt;""),$A47=1,$AI$2="ДА"),(IF($A47=1,IF(OR(AND($E47=1,'Ответы учащихся'!U47=11),AND($E47=2,'Ответы учащихся'!U47=14),AND($E47=3,'Ответы учащихся'!U47=-2),AND($E47=4,'Ответы учащихся'!U47=25)),1,IF('Ответы учащихся'!U47="N",'Ответы учащихся'!U47,0)),"")),"")</f>
        <v>1</v>
      </c>
      <c r="W47" s="102">
        <f>IF(AND(OR($C47&lt;&gt;"",$D47&lt;&gt;""),$A47=1,$AI$2="ДА"),(IF($A47=1,IF(OR(AND($E47=1,'Ответы учащихся'!V47=3000),AND($E47=2,'Ответы учащихся'!V47=2500),AND($E47=3,'Ответы учащихся'!V47=1500),AND($E47=4,'Ответы учащихся'!V47=1500)),1,IF('Ответы учащихся'!V47="N",'Ответы учащихся'!V47,0)),"")),"")</f>
        <v>1</v>
      </c>
      <c r="X47" s="102"/>
      <c r="Y47" s="102">
        <f>IF(AND(OR($C47&lt;&gt;"",$D47&lt;&gt;""),$A47=1,$AI$2="ДА"),(IF($A47=1,IF(AND('Ответы учащихся'!$W47&lt;&gt;"N",'Ответы учащихся'!$X47&lt;&gt;"N",'Ответы учащихся'!$Y47&lt;&gt;"N",'Ответы учащихся'!$Z47&lt;&gt;"N",'Ответы учащихся'!$AA47&lt;&gt;"N"),(SUM('Ответы учащихся'!$W47:$AA47)),"N"),"")),"")</f>
        <v>0.8</v>
      </c>
      <c r="Z47" s="102"/>
      <c r="AA47" s="102">
        <f>IF(AND(OR($C47&lt;&gt;"",$D47&lt;&gt;""),$A47=1,$AI$2="ДА"),(IF($A47=1,IF(AND('Ответы учащихся'!$AB47&lt;&gt;"N",'Ответы учащихся'!$AC47&lt;&gt;"N",'Ответы учащихся'!$AD47&lt;&gt;"N",'Ответы учащихся'!$AE47&lt;&gt;"N"),(SUM('Ответы учащихся'!$AB47:$AE47)),"N"),"")),"")</f>
        <v>2</v>
      </c>
      <c r="AB47" s="289" t="str">
        <f>IF(AND(OR($C47&lt;&gt;"",$D47&lt;&gt;""),$A47=1,$AI$2="ДА"),(IF($A47=1,IF(AND('Ответы учащихся'!$AF47&lt;&gt;"N",'Ответы учащихся'!$AG47&lt;&gt;"N",'Ответы учащихся'!$AH47&lt;&gt;"N",'Ответы учащихся'!$AI47&lt;&gt;"N"),(SUM('Ответы учащихся'!$AF47:$AI47)),"N"),"")),"")</f>
        <v>N</v>
      </c>
      <c r="AC47" s="468">
        <f t="shared" si="6"/>
        <v>16.8</v>
      </c>
      <c r="AD47" s="326">
        <f t="shared" si="7"/>
        <v>0.70000000000000007</v>
      </c>
      <c r="AE47" s="327">
        <f t="shared" si="8"/>
        <v>14</v>
      </c>
      <c r="AF47" s="328">
        <f t="shared" si="9"/>
        <v>77.777777777777786</v>
      </c>
      <c r="AG47" s="327">
        <f t="shared" si="10"/>
        <v>2.8</v>
      </c>
      <c r="AH47" s="329">
        <f t="shared" si="11"/>
        <v>46.666666666666664</v>
      </c>
      <c r="AI47" s="456" t="str">
        <f t="shared" si="12"/>
        <v>БАЗОВЫЙ</v>
      </c>
      <c r="AJ47" s="446">
        <f t="shared" si="13"/>
        <v>16.614705882352936</v>
      </c>
      <c r="AK47" s="447">
        <f t="shared" si="14"/>
        <v>0.69227941176470575</v>
      </c>
      <c r="AL47" s="445">
        <v>9</v>
      </c>
      <c r="AM47" s="446">
        <f t="shared" si="15"/>
        <v>77.287581699346404</v>
      </c>
      <c r="AN47" s="442">
        <f>IF($A47=1,IF(OR(AND($E47=1,'Ответы учащихся'!W47=0.4),AND($E47=2,'Ответы учащихся'!W47=0.4),AND($E47=3,'Ответы учащихся'!W47=0.4),AND($E47=4,'Ответы учащихся'!W47=0.4)),1,IF('Ответы учащихся'!W47="N",'Ответы учащихся'!W47,0)),"")</f>
        <v>1</v>
      </c>
      <c r="AO47" s="434">
        <f>IF($A47=1,IF(OR(AND($E47=1,'Ответы учащихся'!X47=0.4),AND($E47=2,'Ответы учащихся'!X47=0.4),AND($E47=3,'Ответы учащихся'!X47=0.4),AND($E47=4,'Ответы учащихся'!X47=0.4)),1,IF('Ответы учащихся'!X47="N",'Ответы учащихся'!X47,0)),"")</f>
        <v>1</v>
      </c>
      <c r="AP47" s="434">
        <f>IF($A47=1,IF(OR(AND($E47=1,'Ответы учащихся'!Y47=0.4),AND($E47=2,'Ответы учащихся'!Y47=0.4),AND($E47=3,'Ответы учащихся'!Y47=0.4),AND($E47=4,'Ответы учащихся'!Y47=0.4)),1,IF('Ответы учащихся'!Y47="N",'Ответы учащихся'!Y47,0)),"")</f>
        <v>0</v>
      </c>
      <c r="AQ47" s="434">
        <f>IF($A47=1,IF(OR(AND($E47=1,'Ответы учащихся'!Z47=0.4),AND($E47=2,'Ответы учащихся'!Z47=0.4),AND($E47=3,'Ответы учащихся'!Z47=0.4),AND($E47=4,'Ответы учащихся'!Z47=0.4)),1,IF('Ответы учащихся'!Z47="N",'Ответы учащихся'!Z47,0)),"")</f>
        <v>0</v>
      </c>
      <c r="AR47" s="434">
        <f>IF($A47=1,IF(OR(AND($E47=1,'Ответы учащихся'!AA47=0.4),AND($E47=2,'Ответы учащихся'!AA47=0.4),AND($E47=3,'Ответы учащихся'!AA47=0.4),AND($E47=4,'Ответы учащихся'!AA47=0.4)),1,IF('Ответы учащихся'!AA47="N",'Ответы учащихся'!AA47,0)),"")</f>
        <v>0</v>
      </c>
      <c r="AS47" s="435">
        <f>IF($A47=1,IF(OR(AND($E47=1,'Ответы учащихся'!AB47=0.5),AND($E47=2,'Ответы учащихся'!AB47=0.5),AND($E47=3,'Ответы учащихся'!AB47=0.5),AND($E47=4,'Ответы учащихся'!AB47=0.5)),1,IF('Ответы учащихся'!AB47="N",'Ответы учащихся'!AB47,0)),"")</f>
        <v>1</v>
      </c>
      <c r="AT47" s="435">
        <f>IF($A47=1,IF(OR(AND($E47=1,'Ответы учащихся'!AC47=0.5),AND($E47=2,'Ответы учащихся'!AC47=0.5),AND($E47=3,'Ответы учащихся'!AC47=0.5),AND($E47=4,'Ответы учащихся'!AC47=0.5)),1,IF('Ответы учащихся'!AC47="N",'Ответы учащихся'!AC47,0)),"")</f>
        <v>1</v>
      </c>
      <c r="AU47" s="435">
        <f>IF($A47=1,IF(OR(AND($E47=1,'Ответы учащихся'!AD47=0.5),AND($E47=2,'Ответы учащихся'!AD47=0.5),AND($E47=3,'Ответы учащихся'!AD47=0.5),AND($E47=4,'Ответы учащихся'!AD47=0.5)),1,IF('Ответы учащихся'!AD47="N",'Ответы учащихся'!AD47,0)),"")</f>
        <v>1</v>
      </c>
      <c r="AV47" s="435">
        <f>IF($A47=1,IF(OR(AND($E47=1,'Ответы учащихся'!AE47=0.5),AND($E47=2,'Ответы учащихся'!AE47=0.5),AND($E47=3,'Ответы учащихся'!AE47=0.5),AND($E47=4,'Ответы учащихся'!AE47=0.5)),1,IF('Ответы учащихся'!AE47="N",'Ответы учащихся'!AE47,0)),"")</f>
        <v>1</v>
      </c>
      <c r="AW47" s="436" t="str">
        <f>IF($A47=1,IF(OR(AND($E47=1,'Ответы учащихся'!AF47=0.5),AND($E47=2,'Ответы учащихся'!AF47=0.5),AND($E47=3,'Ответы учащихся'!AF47=0.5),AND($E47=4,'Ответы учащихся'!AF47=0.5)),1,IF('Ответы учащихся'!AF47="N",'Ответы учащихся'!AF47,0)),"")</f>
        <v>N</v>
      </c>
      <c r="AX47" s="436" t="str">
        <f>IF($A47=1,IF(OR(AND($E47=1,'Ответы учащихся'!AG47=0.5),AND($E47=2,'Ответы учащихся'!AG47=0.5),AND($E47=3,'Ответы учащихся'!AG47=0.5),AND($E47=4,'Ответы учащихся'!AG47=0.5)),1,IF('Ответы учащихся'!AG47="N",'Ответы учащихся'!AG47,0)),"")</f>
        <v>N</v>
      </c>
      <c r="AY47" s="436" t="str">
        <f>IF($A47=1,IF(OR(AND($E47=1,'Ответы учащихся'!AH47=0.5),AND($E47=2,'Ответы учащихся'!AH47=0.5),AND($E47=3,'Ответы учащихся'!AH47=0.5),AND($E47=4,'Ответы учащихся'!AH47=0.5)),1,IF('Ответы учащихся'!AH47="N",'Ответы учащихся'!AH47,0)),"")</f>
        <v>N</v>
      </c>
      <c r="AZ47" s="436" t="str">
        <f>IF($A47=1,IF(OR(AND($E47=1,'Ответы учащихся'!AI47=0.5),AND($E47=2,'Ответы учащихся'!AI47=0.5),AND($E47=3,'Ответы учащихся'!AI47=0.5),AND($E47=4,'Ответы учащихся'!AI47=0.5)),1,IF('Ответы учащихся'!AI47="N",'Ответы учащихся'!AI47,0)),"")</f>
        <v>N</v>
      </c>
      <c r="BA47" s="429"/>
      <c r="BB47" s="429"/>
      <c r="BC47" s="429"/>
      <c r="BD47" s="429"/>
      <c r="BE47" s="419"/>
      <c r="BF47" s="419"/>
      <c r="BG47" s="6"/>
      <c r="BH47" s="6"/>
      <c r="BI47" s="6"/>
      <c r="BJ47" s="6"/>
    </row>
    <row r="48" spans="1:62" ht="12.75" customHeight="1" x14ac:dyDescent="0.2">
      <c r="A48" s="12">
        <f>IF('СПИСОК КЛАССА'!J48&gt;0,1,0)</f>
        <v>1</v>
      </c>
      <c r="B48" s="100">
        <v>29</v>
      </c>
      <c r="C48" s="101">
        <f>IF(NOT(ISBLANK('СПИСОК КЛАССА'!C48)),'СПИСОК КЛАССА'!C48,"")</f>
        <v>29</v>
      </c>
      <c r="D48" s="134" t="str">
        <f>IF(NOT(ISBLANK('СПИСОК КЛАССА'!D48)),IF($A48=1,'СПИСОК КЛАССА'!D48, "УЧЕНИК НЕ ВЫПОЛНЯЛ РАБОТУ"),"")</f>
        <v/>
      </c>
      <c r="E48" s="460">
        <f>IF($C48&lt;&gt;"",'СПИСОК КЛАССА'!J48,"")</f>
        <v>3</v>
      </c>
      <c r="F48" s="133">
        <f>IF(AND(OR($C48&lt;&gt;"",$D48&lt;&gt;""),$A48=1,$AI$2="ДА"),'Ответы учащихся'!E48,"")</f>
        <v>1</v>
      </c>
      <c r="G48" s="102">
        <f>IF(AND(OR($C48&lt;&gt;"",$D48&lt;&gt;""),$A48=1,$AI$2="ДА"),(IF($A48=1,IF(OR(AND($E48=1,'Ответы учащихся'!F48=2),AND($E48=2,'Ответы учащихся'!F48=4),AND($E48=3,OR('Ответы учащихся'!F48=3,'Ответы учащихся'!F48=4)),AND($E48=4,'Ответы учащихся'!F48=1)),1,IF('Ответы учащихся'!F48="N",'Ответы учащихся'!F48,0)),"")),"")</f>
        <v>1</v>
      </c>
      <c r="H48" s="102">
        <f>IF(AND(OR($C48&lt;&gt;"",$D48&lt;&gt;""),$A48=1,$AI$2="ДА"),(IF($A48=1,IF(OR(AND($E48=1,'Ответы учащихся'!G48=1),AND($E48=2,'Ответы учащихся'!G48=3),AND($E48=3,'Ответы учащихся'!G48=3),AND($E48=4,'Ответы учащихся'!G48=3)),1,IF('Ответы учащихся'!G48="N",'Ответы учащихся'!G48,0)),"")),"")</f>
        <v>1</v>
      </c>
      <c r="I48" s="102">
        <f>IF(AND(OR($C48&lt;&gt;"",$D48&lt;&gt;""),$A48=1,$AI$2="ДА"),(IF($A48=1,IF(OR(AND($E48=1,'Ответы учащихся'!H48=-6),AND($E48=2,'Ответы учащихся'!H48=3),AND($E48=3,'Ответы учащихся'!H48=-8),AND($E48=4,'Ответы учащихся'!H48=-6)),1,IF('Ответы учащихся'!H48="N",'Ответы учащихся'!H48,0)),"")),"")</f>
        <v>1</v>
      </c>
      <c r="J48" s="102">
        <f>IF(AND(OR($C48&lt;&gt;"",$D48&lt;&gt;""),$A48=1,$AI$2="ДА"),(IF($A48=1,IF(OR(AND($E48=1,'Ответы учащихся'!I48=3412),AND($E48=2,'Ответы учащихся'!I48=2314),AND($E48=3,'Ответы учащихся'!I48=3142),AND($E48=4,'Ответы учащихся'!I48=1234)),1,IF('Ответы учащихся'!I48="N",'Ответы учащихся'!I48,0)),"")),"")</f>
        <v>1</v>
      </c>
      <c r="K48" s="102">
        <f>IF(AND(OR($C48&lt;&gt;"",$D48&lt;&gt;""),$A48=1,$AI$2="ДА"),(IF($A48=1,IF(OR(AND($E48=1,'Ответы учащихся'!J48=390),AND($E48=2,'Ответы учащихся'!J48=273),AND($E48=3,'Ответы учащихся'!J48=205),AND($E48=4,'Ответы учащихся'!J48=240)),1,IF('Ответы учащихся'!J48="N",'Ответы учащихся'!J48,0)),"")),"")</f>
        <v>1</v>
      </c>
      <c r="L48" s="102">
        <f>IF(AND(OR($C48&lt;&gt;"",$D48&lt;&gt;""),$A48=1,$AI$2="ДА"),(IF($A48=1,IF(OR(AND($E48=1,'Ответы учащихся'!K48=1),AND($E48=2,'Ответы учащихся'!K48=2),AND($E48=3,'Ответы учащихся'!K48=4),AND($E48=4,'Ответы учащихся'!K48=3)),1,IF('Ответы учащихся'!K48="N",'Ответы учащихся'!K48,0)),"")),"")</f>
        <v>1</v>
      </c>
      <c r="M48" s="102">
        <f>IF(AND(OR($C48&lt;&gt;"",$D48&lt;&gt;""),$A48=1,$AI$2="ДА"),(IF($A48=1,IF(OR(AND($E48=1,'Ответы учащихся'!L48=3),AND($E48=2,'Ответы учащихся'!L48=1),AND($E48=3,'Ответы учащихся'!L48=4),AND($E48=4,'Ответы учащихся'!L48=2)),1,IF('Ответы учащихся'!L48="N",'Ответы учащихся'!L48,0)),"")),"")</f>
        <v>1</v>
      </c>
      <c r="N48" s="102">
        <f>IF(AND(OR($C48&lt;&gt;"",$D48&lt;&gt;""),$A48=1,$AI$2="ДА"),'Ответы учащихся'!M48,"")</f>
        <v>1</v>
      </c>
      <c r="O48" s="102">
        <f>IF(AND(OR($C48&lt;&gt;"",$D48&lt;&gt;""),$A48=1,$AI$2="ДА"),(IF($A48=1,IF(OR(AND($E48=1,'Ответы учащихся'!N48=3),AND($E48=2,'Ответы учащихся'!N48=2),AND($E48=3,'Ответы учащихся'!N48=4),AND($E48=4,'Ответы учащихся'!N48=1)),1,IF('Ответы учащихся'!N48="N",'Ответы учащихся'!N48,0)),"")),"")</f>
        <v>1</v>
      </c>
      <c r="P48" s="102">
        <f>IF(AND(OR($C48&lt;&gt;"",$D48&lt;&gt;""),$A48=1,$AI$2="ДА"),(IF($A48=1,IF(OR(AND($E48=1,'Ответы учащихся'!O48="БВ"),AND($E48=2,'Ответы учащихся'!O48="АВГ"),AND($E48=3,'Ответы учащихся'!O48="БВГ"),AND($E48=4,'Ответы учащихся'!O48="АВ")),1,IF('Ответы учащихся'!O48="N",'Ответы учащихся'!O48,0)),"")),"")</f>
        <v>1</v>
      </c>
      <c r="Q48" s="102">
        <f>IF(AND(OR($C48&lt;&gt;"",$D48&lt;&gt;""),$A48=1,$AI$2="ДА"),(IF($A48=1,IF(OR(AND($E48=1,'Ответы учащихся'!P48=2351),AND($E48=2,'Ответы учащихся'!P48=4132),AND($E48=3,'Ответы учащихся'!P48=3412),AND($E48=4,'Ответы учащихся'!P48=3125)),1,IF('Ответы учащихся'!P48="N",'Ответы учащихся'!P48,0)),"")),"")</f>
        <v>1</v>
      </c>
      <c r="R48" s="102">
        <f>IF(AND(OR($C48&lt;&gt;"",$D48&lt;&gt;""),$A48=1,$AI$2="ДА"),(IF($A48=1,IF(OR(AND($E48=1,'Ответы учащихся'!Q48=2),AND($E48=2,'Ответы учащихся'!Q48=9),AND($E48=3,'Ответы учащихся'!Q48=5),AND($E48=4,'Ответы учащихся'!Q48=2)),1,IF('Ответы учащихся'!Q48="N",'Ответы учащихся'!Q48,0)),"")),"")</f>
        <v>1</v>
      </c>
      <c r="S48" s="102">
        <f>IF(AND(OR($C48&lt;&gt;"",$D48&lt;&gt;""),$A48=1,$AI$2="ДА"),(IF($A48=1,IF(OR(AND($E48=1,'Ответы учащихся'!R48=35),AND($E48=2,'Ответы учащихся'!R48=74),AND($E48=3,'Ответы учащихся'!R48=72),AND($E48=4,'Ответы учащихся'!R48=66)),1,IF('Ответы учащихся'!R48="N",'Ответы учащихся'!R48,0)),"")),"")</f>
        <v>1</v>
      </c>
      <c r="T48" s="102">
        <f>IF(AND(OR($C48&lt;&gt;"",$D48&lt;&gt;""),$A48=1,$AI$2="ДА"),(IF($A48=1,IF(OR(AND($E48=1,'Ответы учащихся'!S48=60),AND($E48=2,'Ответы учащихся'!S48=40),AND($E48=3,'Ответы учащихся'!S48=30),AND($E48=4,'Ответы учащихся'!S48=18)),1,IF('Ответы учащихся'!S48="N",'Ответы учащихся'!S48,0)),"")),"")</f>
        <v>0</v>
      </c>
      <c r="U48" s="102">
        <f>IF(AND(OR($C48&lt;&gt;"",$D48&lt;&gt;""),$A48=1,$AI$2="ДА"),(IF($A48=1,IF(OR(AND($E48=1,'Ответы учащихся'!T48=3),AND($E48=2,'Ответы учащихся'!T48=4),AND($E48=3,'Ответы учащихся'!T48=2),AND($E48=4,'Ответы учащихся'!T48=3)),1,IF('Ответы учащихся'!T48="N",'Ответы учащихся'!T48,0)),"")),"")</f>
        <v>1</v>
      </c>
      <c r="V48" s="102">
        <f>IF(AND(OR($C48&lt;&gt;"",$D48&lt;&gt;""),$A48=1,$AI$2="ДА"),(IF($A48=1,IF(OR(AND($E48=1,'Ответы учащихся'!U48=11),AND($E48=2,'Ответы учащихся'!U48=14),AND($E48=3,'Ответы учащихся'!U48=-2),AND($E48=4,'Ответы учащихся'!U48=25)),1,IF('Ответы учащихся'!U48="N",'Ответы учащихся'!U48,0)),"")),"")</f>
        <v>1</v>
      </c>
      <c r="W48" s="102">
        <f>IF(AND(OR($C48&lt;&gt;"",$D48&lt;&gt;""),$A48=1,$AI$2="ДА"),(IF($A48=1,IF(OR(AND($E48=1,'Ответы учащихся'!V48=3000),AND($E48=2,'Ответы учащихся'!V48=2500),AND($E48=3,'Ответы учащихся'!V48=1500),AND($E48=4,'Ответы учащихся'!V48=1500)),1,IF('Ответы учащихся'!V48="N",'Ответы учащихся'!V48,0)),"")),"")</f>
        <v>1</v>
      </c>
      <c r="X48" s="102"/>
      <c r="Y48" s="102">
        <f>IF(AND(OR($C48&lt;&gt;"",$D48&lt;&gt;""),$A48=1,$AI$2="ДА"),(IF($A48=1,IF(AND('Ответы учащихся'!$W48&lt;&gt;"N",'Ответы учащихся'!$X48&lt;&gt;"N",'Ответы учащихся'!$Y48&lt;&gt;"N",'Ответы учащихся'!$Z48&lt;&gt;"N",'Ответы учащихся'!$AA48&lt;&gt;"N"),(SUM('Ответы учащихся'!$W48:$AA48)),"N"),"")),"")</f>
        <v>0.4</v>
      </c>
      <c r="Z48" s="102"/>
      <c r="AA48" s="102" t="str">
        <f>IF(AND(OR($C48&lt;&gt;"",$D48&lt;&gt;""),$A48=1,$AI$2="ДА"),(IF($A48=1,IF(AND('Ответы учащихся'!$AB48&lt;&gt;"N",'Ответы учащихся'!$AC48&lt;&gt;"N",'Ответы учащихся'!$AD48&lt;&gt;"N",'Ответы учащихся'!$AE48&lt;&gt;"N"),(SUM('Ответы учащихся'!$AB48:$AE48)),"N"),"")),"")</f>
        <v>N</v>
      </c>
      <c r="AB48" s="289" t="str">
        <f>IF(AND(OR($C48&lt;&gt;"",$D48&lt;&gt;""),$A48=1,$AI$2="ДА"),(IF($A48=1,IF(AND('Ответы учащихся'!$AF48&lt;&gt;"N",'Ответы учащихся'!$AG48&lt;&gt;"N",'Ответы учащихся'!$AH48&lt;&gt;"N",'Ответы учащихся'!$AI48&lt;&gt;"N"),(SUM('Ответы учащихся'!$AF48:$AI48)),"N"),"")),"")</f>
        <v>N</v>
      </c>
      <c r="AC48" s="468">
        <f t="shared" si="6"/>
        <v>17.399999999999999</v>
      </c>
      <c r="AD48" s="326">
        <f t="shared" si="7"/>
        <v>0.72499999999999998</v>
      </c>
      <c r="AE48" s="327">
        <f t="shared" si="8"/>
        <v>17</v>
      </c>
      <c r="AF48" s="328">
        <f t="shared" si="9"/>
        <v>94.444444444444443</v>
      </c>
      <c r="AG48" s="327">
        <f t="shared" si="10"/>
        <v>0.4</v>
      </c>
      <c r="AH48" s="329">
        <f t="shared" si="11"/>
        <v>6.666666666666667</v>
      </c>
      <c r="AI48" s="456" t="str">
        <f t="shared" si="12"/>
        <v>БАЗОВЫЙ</v>
      </c>
      <c r="AJ48" s="446">
        <f t="shared" si="13"/>
        <v>16.614705882352936</v>
      </c>
      <c r="AK48" s="447">
        <f t="shared" si="14"/>
        <v>0.69227941176470575</v>
      </c>
      <c r="AL48" s="445">
        <v>9</v>
      </c>
      <c r="AM48" s="446">
        <f t="shared" si="15"/>
        <v>77.287581699346404</v>
      </c>
      <c r="AN48" s="442">
        <f>IF($A48=1,IF(OR(AND($E48=1,'Ответы учащихся'!W48=0.4),AND($E48=2,'Ответы учащихся'!W48=0.4),AND($E48=3,'Ответы учащихся'!W48=0.4),AND($E48=4,'Ответы учащихся'!W48=0.4)),1,IF('Ответы учащихся'!W48="N",'Ответы учащихся'!W48,0)),"")</f>
        <v>1</v>
      </c>
      <c r="AO48" s="434">
        <f>IF($A48=1,IF(OR(AND($E48=1,'Ответы учащихся'!X48=0.4),AND($E48=2,'Ответы учащихся'!X48=0.4),AND($E48=3,'Ответы учащихся'!X48=0.4),AND($E48=4,'Ответы учащихся'!X48=0.4)),1,IF('Ответы учащихся'!X48="N",'Ответы учащихся'!X48,0)),"")</f>
        <v>0</v>
      </c>
      <c r="AP48" s="434">
        <f>IF($A48=1,IF(OR(AND($E48=1,'Ответы учащихся'!Y48=0.4),AND($E48=2,'Ответы учащихся'!Y48=0.4),AND($E48=3,'Ответы учащихся'!Y48=0.4),AND($E48=4,'Ответы учащихся'!Y48=0.4)),1,IF('Ответы учащихся'!Y48="N",'Ответы учащихся'!Y48,0)),"")</f>
        <v>0</v>
      </c>
      <c r="AQ48" s="434">
        <f>IF($A48=1,IF(OR(AND($E48=1,'Ответы учащихся'!Z48=0.4),AND($E48=2,'Ответы учащихся'!Z48=0.4),AND($E48=3,'Ответы учащихся'!Z48=0.4),AND($E48=4,'Ответы учащихся'!Z48=0.4)),1,IF('Ответы учащихся'!Z48="N",'Ответы учащихся'!Z48,0)),"")</f>
        <v>0</v>
      </c>
      <c r="AR48" s="434">
        <f>IF($A48=1,IF(OR(AND($E48=1,'Ответы учащихся'!AA48=0.4),AND($E48=2,'Ответы учащихся'!AA48=0.4),AND($E48=3,'Ответы учащихся'!AA48=0.4),AND($E48=4,'Ответы учащихся'!AA48=0.4)),1,IF('Ответы учащихся'!AA48="N",'Ответы учащихся'!AA48,0)),"")</f>
        <v>0</v>
      </c>
      <c r="AS48" s="435" t="str">
        <f>IF($A48=1,IF(OR(AND($E48=1,'Ответы учащихся'!AB48=0.5),AND($E48=2,'Ответы учащихся'!AB48=0.5),AND($E48=3,'Ответы учащихся'!AB48=0.5),AND($E48=4,'Ответы учащихся'!AB48=0.5)),1,IF('Ответы учащихся'!AB48="N",'Ответы учащихся'!AB48,0)),"")</f>
        <v>N</v>
      </c>
      <c r="AT48" s="435" t="str">
        <f>IF($A48=1,IF(OR(AND($E48=1,'Ответы учащихся'!AC48=0.5),AND($E48=2,'Ответы учащихся'!AC48=0.5),AND($E48=3,'Ответы учащихся'!AC48=0.5),AND($E48=4,'Ответы учащихся'!AC48=0.5)),1,IF('Ответы учащихся'!AC48="N",'Ответы учащихся'!AC48,0)),"")</f>
        <v>N</v>
      </c>
      <c r="AU48" s="435" t="str">
        <f>IF($A48=1,IF(OR(AND($E48=1,'Ответы учащихся'!AD48=0.5),AND($E48=2,'Ответы учащихся'!AD48=0.5),AND($E48=3,'Ответы учащихся'!AD48=0.5),AND($E48=4,'Ответы учащихся'!AD48=0.5)),1,IF('Ответы учащихся'!AD48="N",'Ответы учащихся'!AD48,0)),"")</f>
        <v>N</v>
      </c>
      <c r="AV48" s="435" t="str">
        <f>IF($A48=1,IF(OR(AND($E48=1,'Ответы учащихся'!AE48=0.5),AND($E48=2,'Ответы учащихся'!AE48=0.5),AND($E48=3,'Ответы учащихся'!AE48=0.5),AND($E48=4,'Ответы учащихся'!AE48=0.5)),1,IF('Ответы учащихся'!AE48="N",'Ответы учащихся'!AE48,0)),"")</f>
        <v>N</v>
      </c>
      <c r="AW48" s="436" t="str">
        <f>IF($A48=1,IF(OR(AND($E48=1,'Ответы учащихся'!AF48=0.5),AND($E48=2,'Ответы учащихся'!AF48=0.5),AND($E48=3,'Ответы учащихся'!AF48=0.5),AND($E48=4,'Ответы учащихся'!AF48=0.5)),1,IF('Ответы учащихся'!AF48="N",'Ответы учащихся'!AF48,0)),"")</f>
        <v>N</v>
      </c>
      <c r="AX48" s="436" t="str">
        <f>IF($A48=1,IF(OR(AND($E48=1,'Ответы учащихся'!AG48=0.5),AND($E48=2,'Ответы учащихся'!AG48=0.5),AND($E48=3,'Ответы учащихся'!AG48=0.5),AND($E48=4,'Ответы учащихся'!AG48=0.5)),1,IF('Ответы учащихся'!AG48="N",'Ответы учащихся'!AG48,0)),"")</f>
        <v>N</v>
      </c>
      <c r="AY48" s="436" t="str">
        <f>IF($A48=1,IF(OR(AND($E48=1,'Ответы учащихся'!AH48=0.5),AND($E48=2,'Ответы учащихся'!AH48=0.5),AND($E48=3,'Ответы учащихся'!AH48=0.5),AND($E48=4,'Ответы учащихся'!AH48=0.5)),1,IF('Ответы учащихся'!AH48="N",'Ответы учащихся'!AH48,0)),"")</f>
        <v>N</v>
      </c>
      <c r="AZ48" s="436" t="str">
        <f>IF($A48=1,IF(OR(AND($E48=1,'Ответы учащихся'!AI48=0.5),AND($E48=2,'Ответы учащихся'!AI48=0.5),AND($E48=3,'Ответы учащихся'!AI48=0.5),AND($E48=4,'Ответы учащихся'!AI48=0.5)),1,IF('Ответы учащихся'!AI48="N",'Ответы учащихся'!AI48,0)),"")</f>
        <v>N</v>
      </c>
      <c r="BA48" s="429"/>
      <c r="BB48" s="429"/>
      <c r="BC48" s="429"/>
      <c r="BD48" s="429"/>
      <c r="BE48" s="419"/>
      <c r="BF48" s="419"/>
      <c r="BG48" s="6"/>
      <c r="BH48" s="6"/>
      <c r="BI48" s="6"/>
      <c r="BJ48" s="6"/>
    </row>
    <row r="49" spans="1:90" ht="12.75" customHeight="1" x14ac:dyDescent="0.2">
      <c r="A49" s="12">
        <f>IF('СПИСОК КЛАССА'!J49&gt;0,1,0)</f>
        <v>1</v>
      </c>
      <c r="B49" s="100">
        <v>30</v>
      </c>
      <c r="C49" s="101">
        <f>IF(NOT(ISBLANK('СПИСОК КЛАССА'!C49)),'СПИСОК КЛАССА'!C49,"")</f>
        <v>30</v>
      </c>
      <c r="D49" s="134" t="str">
        <f>IF(NOT(ISBLANK('СПИСОК КЛАССА'!D49)),IF($A49=1,'СПИСОК КЛАССА'!D49, "УЧЕНИК НЕ ВЫПОЛНЯЛ РАБОТУ"),"")</f>
        <v/>
      </c>
      <c r="E49" s="460">
        <f>IF($C49&lt;&gt;"",'СПИСОК КЛАССА'!J49,"")</f>
        <v>4</v>
      </c>
      <c r="F49" s="133">
        <f>IF(AND(OR($C49&lt;&gt;"",$D49&lt;&gt;""),$A49=1,$AI$2="ДА"),'Ответы учащихся'!E49,"")</f>
        <v>0</v>
      </c>
      <c r="G49" s="102">
        <f>IF(AND(OR($C49&lt;&gt;"",$D49&lt;&gt;""),$A49=1,$AI$2="ДА"),(IF($A49=1,IF(OR(AND($E49=1,'Ответы учащихся'!F49=2),AND($E49=2,'Ответы учащихся'!F49=4),AND($E49=3,OR('Ответы учащихся'!F49=3,'Ответы учащихся'!F49=4)),AND($E49=4,'Ответы учащихся'!F49=1)),1,IF('Ответы учащихся'!F49="N",'Ответы учащихся'!F49,0)),"")),"")</f>
        <v>1</v>
      </c>
      <c r="H49" s="102">
        <f>IF(AND(OR($C49&lt;&gt;"",$D49&lt;&gt;""),$A49=1,$AI$2="ДА"),(IF($A49=1,IF(OR(AND($E49=1,'Ответы учащихся'!G49=1),AND($E49=2,'Ответы учащихся'!G49=3),AND($E49=3,'Ответы учащихся'!G49=3),AND($E49=4,'Ответы учащихся'!G49=3)),1,IF('Ответы учащихся'!G49="N",'Ответы учащихся'!G49,0)),"")),"")</f>
        <v>1</v>
      </c>
      <c r="I49" s="102">
        <f>IF(AND(OR($C49&lt;&gt;"",$D49&lt;&gt;""),$A49=1,$AI$2="ДА"),(IF($A49=1,IF(OR(AND($E49=1,'Ответы учащихся'!H49=-6),AND($E49=2,'Ответы учащихся'!H49=3),AND($E49=3,'Ответы учащихся'!H49=-8),AND($E49=4,'Ответы учащихся'!H49=-6)),1,IF('Ответы учащихся'!H49="N",'Ответы учащихся'!H49,0)),"")),"")</f>
        <v>1</v>
      </c>
      <c r="J49" s="102">
        <f>IF(AND(OR($C49&lt;&gt;"",$D49&lt;&gt;""),$A49=1,$AI$2="ДА"),(IF($A49=1,IF(OR(AND($E49=1,'Ответы учащихся'!I49=3412),AND($E49=2,'Ответы учащихся'!I49=2314),AND($E49=3,'Ответы учащихся'!I49=3142),AND($E49=4,'Ответы учащихся'!I49=1234)),1,IF('Ответы учащихся'!I49="N",'Ответы учащихся'!I49,0)),"")),"")</f>
        <v>1</v>
      </c>
      <c r="K49" s="102">
        <f>IF(AND(OR($C49&lt;&gt;"",$D49&lt;&gt;""),$A49=1,$AI$2="ДА"),(IF($A49=1,IF(OR(AND($E49=1,'Ответы учащихся'!J49=390),AND($E49=2,'Ответы учащихся'!J49=273),AND($E49=3,'Ответы учащихся'!J49=205),AND($E49=4,'Ответы учащихся'!J49=240)),1,IF('Ответы учащихся'!J49="N",'Ответы учащихся'!J49,0)),"")),"")</f>
        <v>1</v>
      </c>
      <c r="L49" s="102">
        <f>IF(AND(OR($C49&lt;&gt;"",$D49&lt;&gt;""),$A49=1,$AI$2="ДА"),(IF($A49=1,IF(OR(AND($E49=1,'Ответы учащихся'!K49=1),AND($E49=2,'Ответы учащихся'!K49=2),AND($E49=3,'Ответы учащихся'!K49=4),AND($E49=4,'Ответы учащихся'!K49=3)),1,IF('Ответы учащихся'!K49="N",'Ответы учащихся'!K49,0)),"")),"")</f>
        <v>1</v>
      </c>
      <c r="M49" s="102">
        <f>IF(AND(OR($C49&lt;&gt;"",$D49&lt;&gt;""),$A49=1,$AI$2="ДА"),(IF($A49=1,IF(OR(AND($E49=1,'Ответы учащихся'!L49=3),AND($E49=2,'Ответы учащихся'!L49=1),AND($E49=3,'Ответы учащихся'!L49=4),AND($E49=4,'Ответы учащихся'!L49=2)),1,IF('Ответы учащихся'!L49="N",'Ответы учащихся'!L49,0)),"")),"")</f>
        <v>1</v>
      </c>
      <c r="N49" s="102">
        <f>IF(AND(OR($C49&lt;&gt;"",$D49&lt;&gt;""),$A49=1,$AI$2="ДА"),'Ответы учащихся'!M49,"")</f>
        <v>0</v>
      </c>
      <c r="O49" s="102">
        <f>IF(AND(OR($C49&lt;&gt;"",$D49&lt;&gt;""),$A49=1,$AI$2="ДА"),(IF($A49=1,IF(OR(AND($E49=1,'Ответы учащихся'!N49=3),AND($E49=2,'Ответы учащихся'!N49=2),AND($E49=3,'Ответы учащихся'!N49=4),AND($E49=4,'Ответы учащихся'!N49=1)),1,IF('Ответы учащихся'!N49="N",'Ответы учащихся'!N49,0)),"")),"")</f>
        <v>1</v>
      </c>
      <c r="P49" s="102">
        <f>IF(AND(OR($C49&lt;&gt;"",$D49&lt;&gt;""),$A49=1,$AI$2="ДА"),(IF($A49=1,IF(OR(AND($E49=1,'Ответы учащихся'!O49="БВ"),AND($E49=2,'Ответы учащихся'!O49="АВГ"),AND($E49=3,'Ответы учащихся'!O49="БВГ"),AND($E49=4,'Ответы учащихся'!O49="АВ")),1,IF('Ответы учащихся'!O49="N",'Ответы учащихся'!O49,0)),"")),"")</f>
        <v>1</v>
      </c>
      <c r="Q49" s="102" t="str">
        <f>IF(AND(OR($C49&lt;&gt;"",$D49&lt;&gt;""),$A49=1,$AI$2="ДА"),(IF($A49=1,IF(OR(AND($E49=1,'Ответы учащихся'!P49=2351),AND($E49=2,'Ответы учащихся'!P49=4132),AND($E49=3,'Ответы учащихся'!P49=3412),AND($E49=4,'Ответы учащихся'!P49=3125)),1,IF('Ответы учащихся'!P49="N",'Ответы учащихся'!P49,0)),"")),"")</f>
        <v>N</v>
      </c>
      <c r="R49" s="102">
        <f>IF(AND(OR($C49&lt;&gt;"",$D49&lt;&gt;""),$A49=1,$AI$2="ДА"),(IF($A49=1,IF(OR(AND($E49=1,'Ответы учащихся'!Q49=2),AND($E49=2,'Ответы учащихся'!Q49=9),AND($E49=3,'Ответы учащихся'!Q49=5),AND($E49=4,'Ответы учащихся'!Q49=2)),1,IF('Ответы учащихся'!Q49="N",'Ответы учащихся'!Q49,0)),"")),"")</f>
        <v>1</v>
      </c>
      <c r="S49" s="102">
        <f>IF(AND(OR($C49&lt;&gt;"",$D49&lt;&gt;""),$A49=1,$AI$2="ДА"),(IF($A49=1,IF(OR(AND($E49=1,'Ответы учащихся'!R49=35),AND($E49=2,'Ответы учащихся'!R49=74),AND($E49=3,'Ответы учащихся'!R49=72),AND($E49=4,'Ответы учащихся'!R49=66)),1,IF('Ответы учащихся'!R49="N",'Ответы учащихся'!R49,0)),"")),"")</f>
        <v>1</v>
      </c>
      <c r="T49" s="102">
        <f>IF(AND(OR($C49&lt;&gt;"",$D49&lt;&gt;""),$A49=1,$AI$2="ДА"),(IF($A49=1,IF(OR(AND($E49=1,'Ответы учащихся'!S49=60),AND($E49=2,'Ответы учащихся'!S49=40),AND($E49=3,'Ответы учащихся'!S49=30),AND($E49=4,'Ответы учащихся'!S49=18)),1,IF('Ответы учащихся'!S49="N",'Ответы учащихся'!S49,0)),"")),"")</f>
        <v>0</v>
      </c>
      <c r="U49" s="102">
        <f>IF(AND(OR($C49&lt;&gt;"",$D49&lt;&gt;""),$A49=1,$AI$2="ДА"),(IF($A49=1,IF(OR(AND($E49=1,'Ответы учащихся'!T49=3),AND($E49=2,'Ответы учащихся'!T49=4),AND($E49=3,'Ответы учащихся'!T49=2),AND($E49=4,'Ответы учащихся'!T49=3)),1,IF('Ответы учащихся'!T49="N",'Ответы учащихся'!T49,0)),"")),"")</f>
        <v>1</v>
      </c>
      <c r="V49" s="102">
        <f>IF(AND(OR($C49&lt;&gt;"",$D49&lt;&gt;""),$A49=1,$AI$2="ДА"),(IF($A49=1,IF(OR(AND($E49=1,'Ответы учащихся'!U49=11),AND($E49=2,'Ответы учащихся'!U49=14),AND($E49=3,'Ответы учащихся'!U49=-2),AND($E49=4,'Ответы учащихся'!U49=25)),1,IF('Ответы учащихся'!U49="N",'Ответы учащихся'!U49,0)),"")),"")</f>
        <v>1</v>
      </c>
      <c r="W49" s="102">
        <f>IF(AND(OR($C49&lt;&gt;"",$D49&lt;&gt;""),$A49=1,$AI$2="ДА"),(IF($A49=1,IF(OR(AND($E49=1,'Ответы учащихся'!V49=3000),AND($E49=2,'Ответы учащихся'!V49=2500),AND($E49=3,'Ответы учащихся'!V49=1500),AND($E49=4,'Ответы учащихся'!V49=1500)),1,IF('Ответы учащихся'!V49="N",'Ответы учащихся'!V49,0)),"")),"")</f>
        <v>1</v>
      </c>
      <c r="X49" s="102"/>
      <c r="Y49" s="102" t="str">
        <f>IF(AND(OR($C49&lt;&gt;"",$D49&lt;&gt;""),$A49=1,$AI$2="ДА"),(IF($A49=1,IF(AND('Ответы учащихся'!$W49&lt;&gt;"N",'Ответы учащихся'!$X49&lt;&gt;"N",'Ответы учащихся'!$Y49&lt;&gt;"N",'Ответы учащихся'!$Z49&lt;&gt;"N",'Ответы учащихся'!$AA49&lt;&gt;"N"),(SUM('Ответы учащихся'!$W49:$AA49)),"N"),"")),"")</f>
        <v>N</v>
      </c>
      <c r="Z49" s="102"/>
      <c r="AA49" s="102" t="str">
        <f>IF(AND(OR($C49&lt;&gt;"",$D49&lt;&gt;""),$A49=1,$AI$2="ДА"),(IF($A49=1,IF(AND('Ответы учащихся'!$AB49&lt;&gt;"N",'Ответы учащихся'!$AC49&lt;&gt;"N",'Ответы учащихся'!$AD49&lt;&gt;"N",'Ответы учащихся'!$AE49&lt;&gt;"N"),(SUM('Ответы учащихся'!$AB49:$AE49)),"N"),"")),"")</f>
        <v>N</v>
      </c>
      <c r="AB49" s="289" t="str">
        <f>IF(AND(OR($C49&lt;&gt;"",$D49&lt;&gt;""),$A49=1,$AI$2="ДА"),(IF($A49=1,IF(AND('Ответы учащихся'!$AF49&lt;&gt;"N",'Ответы учащихся'!$AG49&lt;&gt;"N",'Ответы учащихся'!$AH49&lt;&gt;"N",'Ответы учащихся'!$AI49&lt;&gt;"N"),(SUM('Ответы учащихся'!$AF49:$AI49)),"N"),"")),"")</f>
        <v>N</v>
      </c>
      <c r="AC49" s="468">
        <f t="shared" si="6"/>
        <v>14</v>
      </c>
      <c r="AD49" s="326">
        <f t="shared" si="7"/>
        <v>0.58333333333333337</v>
      </c>
      <c r="AE49" s="327">
        <f t="shared" si="8"/>
        <v>14</v>
      </c>
      <c r="AF49" s="328">
        <f t="shared" si="9"/>
        <v>77.777777777777786</v>
      </c>
      <c r="AG49" s="327">
        <f t="shared" si="10"/>
        <v>0</v>
      </c>
      <c r="AH49" s="329">
        <f t="shared" si="11"/>
        <v>0</v>
      </c>
      <c r="AI49" s="456" t="str">
        <f t="shared" si="12"/>
        <v>БАЗОВЫЙ</v>
      </c>
      <c r="AJ49" s="446">
        <f t="shared" si="13"/>
        <v>16.614705882352936</v>
      </c>
      <c r="AK49" s="447">
        <f t="shared" si="14"/>
        <v>0.69227941176470575</v>
      </c>
      <c r="AL49" s="445">
        <v>9</v>
      </c>
      <c r="AM49" s="446">
        <f t="shared" si="15"/>
        <v>77.287581699346404</v>
      </c>
      <c r="AN49" s="442" t="str">
        <f>IF($A49=1,IF(OR(AND($E49=1,'Ответы учащихся'!W49=0.4),AND($E49=2,'Ответы учащихся'!W49=0.4),AND($E49=3,'Ответы учащихся'!W49=0.4),AND($E49=4,'Ответы учащихся'!W49=0.4)),1,IF('Ответы учащихся'!W49="N",'Ответы учащихся'!W49,0)),"")</f>
        <v>N</v>
      </c>
      <c r="AO49" s="434" t="str">
        <f>IF($A49=1,IF(OR(AND($E49=1,'Ответы учащихся'!X49=0.4),AND($E49=2,'Ответы учащихся'!X49=0.4),AND($E49=3,'Ответы учащихся'!X49=0.4),AND($E49=4,'Ответы учащихся'!X49=0.4)),1,IF('Ответы учащихся'!X49="N",'Ответы учащихся'!X49,0)),"")</f>
        <v>N</v>
      </c>
      <c r="AP49" s="434" t="str">
        <f>IF($A49=1,IF(OR(AND($E49=1,'Ответы учащихся'!Y49=0.4),AND($E49=2,'Ответы учащихся'!Y49=0.4),AND($E49=3,'Ответы учащихся'!Y49=0.4),AND($E49=4,'Ответы учащихся'!Y49=0.4)),1,IF('Ответы учащихся'!Y49="N",'Ответы учащихся'!Y49,0)),"")</f>
        <v>N</v>
      </c>
      <c r="AQ49" s="434" t="str">
        <f>IF($A49=1,IF(OR(AND($E49=1,'Ответы учащихся'!Z49=0.4),AND($E49=2,'Ответы учащихся'!Z49=0.4),AND($E49=3,'Ответы учащихся'!Z49=0.4),AND($E49=4,'Ответы учащихся'!Z49=0.4)),1,IF('Ответы учащихся'!Z49="N",'Ответы учащихся'!Z49,0)),"")</f>
        <v>N</v>
      </c>
      <c r="AR49" s="434" t="str">
        <f>IF($A49=1,IF(OR(AND($E49=1,'Ответы учащихся'!AA49=0.4),AND($E49=2,'Ответы учащихся'!AA49=0.4),AND($E49=3,'Ответы учащихся'!AA49=0.4),AND($E49=4,'Ответы учащихся'!AA49=0.4)),1,IF('Ответы учащихся'!AA49="N",'Ответы учащихся'!AA49,0)),"")</f>
        <v>N</v>
      </c>
      <c r="AS49" s="435" t="str">
        <f>IF($A49=1,IF(OR(AND($E49=1,'Ответы учащихся'!AB49=0.5),AND($E49=2,'Ответы учащихся'!AB49=0.5),AND($E49=3,'Ответы учащихся'!AB49=0.5),AND($E49=4,'Ответы учащихся'!AB49=0.5)),1,IF('Ответы учащихся'!AB49="N",'Ответы учащихся'!AB49,0)),"")</f>
        <v>N</v>
      </c>
      <c r="AT49" s="435" t="str">
        <f>IF($A49=1,IF(OR(AND($E49=1,'Ответы учащихся'!AC49=0.5),AND($E49=2,'Ответы учащихся'!AC49=0.5),AND($E49=3,'Ответы учащихся'!AC49=0.5),AND($E49=4,'Ответы учащихся'!AC49=0.5)),1,IF('Ответы учащихся'!AC49="N",'Ответы учащихся'!AC49,0)),"")</f>
        <v>N</v>
      </c>
      <c r="AU49" s="435" t="str">
        <f>IF($A49=1,IF(OR(AND($E49=1,'Ответы учащихся'!AD49=0.5),AND($E49=2,'Ответы учащихся'!AD49=0.5),AND($E49=3,'Ответы учащихся'!AD49=0.5),AND($E49=4,'Ответы учащихся'!AD49=0.5)),1,IF('Ответы учащихся'!AD49="N",'Ответы учащихся'!AD49,0)),"")</f>
        <v>N</v>
      </c>
      <c r="AV49" s="435" t="str">
        <f>IF($A49=1,IF(OR(AND($E49=1,'Ответы учащихся'!AE49=0.5),AND($E49=2,'Ответы учащихся'!AE49=0.5),AND($E49=3,'Ответы учащихся'!AE49=0.5),AND($E49=4,'Ответы учащихся'!AE49=0.5)),1,IF('Ответы учащихся'!AE49="N",'Ответы учащихся'!AE49,0)),"")</f>
        <v>N</v>
      </c>
      <c r="AW49" s="436" t="str">
        <f>IF($A49=1,IF(OR(AND($E49=1,'Ответы учащихся'!AF49=0.5),AND($E49=2,'Ответы учащихся'!AF49=0.5),AND($E49=3,'Ответы учащихся'!AF49=0.5),AND($E49=4,'Ответы учащихся'!AF49=0.5)),1,IF('Ответы учащихся'!AF49="N",'Ответы учащихся'!AF49,0)),"")</f>
        <v>N</v>
      </c>
      <c r="AX49" s="436" t="str">
        <f>IF($A49=1,IF(OR(AND($E49=1,'Ответы учащихся'!AG49=0.5),AND($E49=2,'Ответы учащихся'!AG49=0.5),AND($E49=3,'Ответы учащихся'!AG49=0.5),AND($E49=4,'Ответы учащихся'!AG49=0.5)),1,IF('Ответы учащихся'!AG49="N",'Ответы учащихся'!AG49,0)),"")</f>
        <v>N</v>
      </c>
      <c r="AY49" s="436" t="str">
        <f>IF($A49=1,IF(OR(AND($E49=1,'Ответы учащихся'!AH49=0.5),AND($E49=2,'Ответы учащихся'!AH49=0.5),AND($E49=3,'Ответы учащихся'!AH49=0.5),AND($E49=4,'Ответы учащихся'!AH49=0.5)),1,IF('Ответы учащихся'!AH49="N",'Ответы учащихся'!AH49,0)),"")</f>
        <v>N</v>
      </c>
      <c r="AZ49" s="436" t="str">
        <f>IF($A49=1,IF(OR(AND($E49=1,'Ответы учащихся'!AI49=0.5),AND($E49=2,'Ответы учащихся'!AI49=0.5),AND($E49=3,'Ответы учащихся'!AI49=0.5),AND($E49=4,'Ответы учащихся'!AI49=0.5)),1,IF('Ответы учащихся'!AI49="N",'Ответы учащихся'!AI49,0)),"")</f>
        <v>N</v>
      </c>
      <c r="BA49" s="429"/>
      <c r="BB49" s="429"/>
      <c r="BC49" s="429"/>
      <c r="BD49" s="429"/>
      <c r="BE49" s="419"/>
      <c r="BF49" s="419"/>
      <c r="BG49" s="6"/>
      <c r="BH49" s="6"/>
      <c r="BI49" s="6"/>
      <c r="BJ49" s="6"/>
    </row>
    <row r="50" spans="1:90" ht="12.75" customHeight="1" x14ac:dyDescent="0.2">
      <c r="A50" s="12">
        <f>IF('СПИСОК КЛАССА'!J50&gt;0,1,0)</f>
        <v>1</v>
      </c>
      <c r="B50" s="100">
        <v>31</v>
      </c>
      <c r="C50" s="101">
        <f>IF(NOT(ISBLANK('СПИСОК КЛАССА'!C50)),'СПИСОК КЛАССА'!C50,"")</f>
        <v>31</v>
      </c>
      <c r="D50" s="134" t="str">
        <f>IF(NOT(ISBLANK('СПИСОК КЛАССА'!D50)),IF($A50=1,'СПИСОК КЛАССА'!D50, "УЧЕНИК НЕ ВЫПОЛНЯЛ РАБОТУ"),"")</f>
        <v/>
      </c>
      <c r="E50" s="460">
        <f>IF($C50&lt;&gt;"",'СПИСОК КЛАССА'!J50,"")</f>
        <v>1</v>
      </c>
      <c r="F50" s="133">
        <f>IF(AND(OR($C50&lt;&gt;"",$D50&lt;&gt;""),$A50=1,$AI$2="ДА"),'Ответы учащихся'!E50,"")</f>
        <v>0</v>
      </c>
      <c r="G50" s="102">
        <f>IF(AND(OR($C50&lt;&gt;"",$D50&lt;&gt;""),$A50=1,$AI$2="ДА"),(IF($A50=1,IF(OR(AND($E50=1,'Ответы учащихся'!F50=2),AND($E50=2,'Ответы учащихся'!F50=4),AND($E50=3,OR('Ответы учащихся'!F50=3,'Ответы учащихся'!F50=4)),AND($E50=4,'Ответы учащихся'!F50=1)),1,IF('Ответы учащихся'!F50="N",'Ответы учащихся'!F50,0)),"")),"")</f>
        <v>1</v>
      </c>
      <c r="H50" s="102">
        <f>IF(AND(OR($C50&lt;&gt;"",$D50&lt;&gt;""),$A50=1,$AI$2="ДА"),(IF($A50=1,IF(OR(AND($E50=1,'Ответы учащихся'!G50=1),AND($E50=2,'Ответы учащихся'!G50=3),AND($E50=3,'Ответы учащихся'!G50=3),AND($E50=4,'Ответы учащихся'!G50=3)),1,IF('Ответы учащихся'!G50="N",'Ответы учащихся'!G50,0)),"")),"")</f>
        <v>1</v>
      </c>
      <c r="I50" s="102">
        <f>IF(AND(OR($C50&lt;&gt;"",$D50&lt;&gt;""),$A50=1,$AI$2="ДА"),(IF($A50=1,IF(OR(AND($E50=1,'Ответы учащихся'!H50=-6),AND($E50=2,'Ответы учащихся'!H50=3),AND($E50=3,'Ответы учащихся'!H50=-8),AND($E50=4,'Ответы учащихся'!H50=-6)),1,IF('Ответы учащихся'!H50="N",'Ответы учащихся'!H50,0)),"")),"")</f>
        <v>1</v>
      </c>
      <c r="J50" s="102">
        <f>IF(AND(OR($C50&lt;&gt;"",$D50&lt;&gt;""),$A50=1,$AI$2="ДА"),(IF($A50=1,IF(OR(AND($E50=1,'Ответы учащихся'!I50=3412),AND($E50=2,'Ответы учащихся'!I50=2314),AND($E50=3,'Ответы учащихся'!I50=3142),AND($E50=4,'Ответы учащихся'!I50=1234)),1,IF('Ответы учащихся'!I50="N",'Ответы учащихся'!I50,0)),"")),"")</f>
        <v>1</v>
      </c>
      <c r="K50" s="102">
        <f>IF(AND(OR($C50&lt;&gt;"",$D50&lt;&gt;""),$A50=1,$AI$2="ДА"),(IF($A50=1,IF(OR(AND($E50=1,'Ответы учащихся'!J50=390),AND($E50=2,'Ответы учащихся'!J50=273),AND($E50=3,'Ответы учащихся'!J50=205),AND($E50=4,'Ответы учащихся'!J50=240)),1,IF('Ответы учащихся'!J50="N",'Ответы учащихся'!J50,0)),"")),"")</f>
        <v>1</v>
      </c>
      <c r="L50" s="102">
        <f>IF(AND(OR($C50&lt;&gt;"",$D50&lt;&gt;""),$A50=1,$AI$2="ДА"),(IF($A50=1,IF(OR(AND($E50=1,'Ответы учащихся'!K50=1),AND($E50=2,'Ответы учащихся'!K50=2),AND($E50=3,'Ответы учащихся'!K50=4),AND($E50=4,'Ответы учащихся'!K50=3)),1,IF('Ответы учащихся'!K50="N",'Ответы учащихся'!K50,0)),"")),"")</f>
        <v>1</v>
      </c>
      <c r="M50" s="102">
        <f>IF(AND(OR($C50&lt;&gt;"",$D50&lt;&gt;""),$A50=1,$AI$2="ДА"),(IF($A50=1,IF(OR(AND($E50=1,'Ответы учащихся'!L50=3),AND($E50=2,'Ответы учащихся'!L50=1),AND($E50=3,'Ответы учащихся'!L50=4),AND($E50=4,'Ответы учащихся'!L50=2)),1,IF('Ответы учащихся'!L50="N",'Ответы учащихся'!L50,0)),"")),"")</f>
        <v>1</v>
      </c>
      <c r="N50" s="102">
        <f>IF(AND(OR($C50&lt;&gt;"",$D50&lt;&gt;""),$A50=1,$AI$2="ДА"),'Ответы учащихся'!M50,"")</f>
        <v>1</v>
      </c>
      <c r="O50" s="102">
        <f>IF(AND(OR($C50&lt;&gt;"",$D50&lt;&gt;""),$A50=1,$AI$2="ДА"),(IF($A50=1,IF(OR(AND($E50=1,'Ответы учащихся'!N50=3),AND($E50=2,'Ответы учащихся'!N50=2),AND($E50=3,'Ответы учащихся'!N50=4),AND($E50=4,'Ответы учащихся'!N50=1)),1,IF('Ответы учащихся'!N50="N",'Ответы учащихся'!N50,0)),"")),"")</f>
        <v>1</v>
      </c>
      <c r="P50" s="102">
        <f>IF(AND(OR($C50&lt;&gt;"",$D50&lt;&gt;""),$A50=1,$AI$2="ДА"),(IF($A50=1,IF(OR(AND($E50=1,'Ответы учащихся'!O50="БВ"),AND($E50=2,'Ответы учащихся'!O50="АВГ"),AND($E50=3,'Ответы учащихся'!O50="БВГ"),AND($E50=4,'Ответы учащихся'!O50="АВ")),1,IF('Ответы учащихся'!O50="N",'Ответы учащихся'!O50,0)),"")),"")</f>
        <v>1</v>
      </c>
      <c r="Q50" s="102">
        <f>IF(AND(OR($C50&lt;&gt;"",$D50&lt;&gt;""),$A50=1,$AI$2="ДА"),(IF($A50=1,IF(OR(AND($E50=1,'Ответы учащихся'!P50=2351),AND($E50=2,'Ответы учащихся'!P50=4132),AND($E50=3,'Ответы учащихся'!P50=3412),AND($E50=4,'Ответы учащихся'!P50=3125)),1,IF('Ответы учащихся'!P50="N",'Ответы учащихся'!P50,0)),"")),"")</f>
        <v>1</v>
      </c>
      <c r="R50" s="102">
        <f>IF(AND(OR($C50&lt;&gt;"",$D50&lt;&gt;""),$A50=1,$AI$2="ДА"),(IF($A50=1,IF(OR(AND($E50=1,'Ответы учащихся'!Q50=2),AND($E50=2,'Ответы учащихся'!Q50=9),AND($E50=3,'Ответы учащихся'!Q50=5),AND($E50=4,'Ответы учащихся'!Q50=2)),1,IF('Ответы учащихся'!Q50="N",'Ответы учащихся'!Q50,0)),"")),"")</f>
        <v>1</v>
      </c>
      <c r="S50" s="102">
        <f>IF(AND(OR($C50&lt;&gt;"",$D50&lt;&gt;""),$A50=1,$AI$2="ДА"),(IF($A50=1,IF(OR(AND($E50=1,'Ответы учащихся'!R50=35),AND($E50=2,'Ответы учащихся'!R50=74),AND($E50=3,'Ответы учащихся'!R50=72),AND($E50=4,'Ответы учащихся'!R50=66)),1,IF('Ответы учащихся'!R50="N",'Ответы учащихся'!R50,0)),"")),"")</f>
        <v>1</v>
      </c>
      <c r="T50" s="102">
        <f>IF(AND(OR($C50&lt;&gt;"",$D50&lt;&gt;""),$A50=1,$AI$2="ДА"),(IF($A50=1,IF(OR(AND($E50=1,'Ответы учащихся'!S50=60),AND($E50=2,'Ответы учащихся'!S50=40),AND($E50=3,'Ответы учащихся'!S50=30),AND($E50=4,'Ответы учащихся'!S50=18)),1,IF('Ответы учащихся'!S50="N",'Ответы учащихся'!S50,0)),"")),"")</f>
        <v>0</v>
      </c>
      <c r="U50" s="102">
        <f>IF(AND(OR($C50&lt;&gt;"",$D50&lt;&gt;""),$A50=1,$AI$2="ДА"),(IF($A50=1,IF(OR(AND($E50=1,'Ответы учащихся'!T50=3),AND($E50=2,'Ответы учащихся'!T50=4),AND($E50=3,'Ответы учащихся'!T50=2),AND($E50=4,'Ответы учащихся'!T50=3)),1,IF('Ответы учащихся'!T50="N",'Ответы учащихся'!T50,0)),"")),"")</f>
        <v>0</v>
      </c>
      <c r="V50" s="102">
        <f>IF(AND(OR($C50&lt;&gt;"",$D50&lt;&gt;""),$A50=1,$AI$2="ДА"),(IF($A50=1,IF(OR(AND($E50=1,'Ответы учащихся'!U50=11),AND($E50=2,'Ответы учащихся'!U50=14),AND($E50=3,'Ответы учащихся'!U50=-2),AND($E50=4,'Ответы учащихся'!U50=25)),1,IF('Ответы учащихся'!U50="N",'Ответы учащихся'!U50,0)),"")),"")</f>
        <v>1</v>
      </c>
      <c r="W50" s="102">
        <f>IF(AND(OR($C50&lt;&gt;"",$D50&lt;&gt;""),$A50=1,$AI$2="ДА"),(IF($A50=1,IF(OR(AND($E50=1,'Ответы учащихся'!V50=3000),AND($E50=2,'Ответы учащихся'!V50=2500),AND($E50=3,'Ответы учащихся'!V50=1500),AND($E50=4,'Ответы учащихся'!V50=1500)),1,IF('Ответы учащихся'!V50="N",'Ответы учащихся'!V50,0)),"")),"")</f>
        <v>1</v>
      </c>
      <c r="X50" s="102"/>
      <c r="Y50" s="102">
        <f>IF(AND(OR($C50&lt;&gt;"",$D50&lt;&gt;""),$A50=1,$AI$2="ДА"),(IF($A50=1,IF(AND('Ответы учащихся'!$W50&lt;&gt;"N",'Ответы учащихся'!$X50&lt;&gt;"N",'Ответы учащихся'!$Y50&lt;&gt;"N",'Ответы учащихся'!$Z50&lt;&gt;"N",'Ответы учащихся'!$AA50&lt;&gt;"N"),(SUM('Ответы учащихся'!$W50:$AA50)),"N"),"")),"")</f>
        <v>2</v>
      </c>
      <c r="Z50" s="102"/>
      <c r="AA50" s="102">
        <f>IF(AND(OR($C50&lt;&gt;"",$D50&lt;&gt;""),$A50=1,$AI$2="ДА"),(IF($A50=1,IF(AND('Ответы учащихся'!$AB50&lt;&gt;"N",'Ответы учащихся'!$AC50&lt;&gt;"N",'Ответы учащихся'!$AD50&lt;&gt;"N",'Ответы учащихся'!$AE50&lt;&gt;"N"),(SUM('Ответы учащихся'!$AB50:$AE50)),"N"),"")),"")</f>
        <v>2</v>
      </c>
      <c r="AB50" s="289">
        <f>IF(AND(OR($C50&lt;&gt;"",$D50&lt;&gt;""),$A50=1,$AI$2="ДА"),(IF($A50=1,IF(AND('Ответы учащихся'!$AF50&lt;&gt;"N",'Ответы учащихся'!$AG50&lt;&gt;"N",'Ответы учащихся'!$AH50&lt;&gt;"N",'Ответы учащихся'!$AI50&lt;&gt;"N"),(SUM('Ответы учащихся'!$AF50:$AI50)),"N"),"")),"")</f>
        <v>2</v>
      </c>
      <c r="AC50" s="468">
        <f t="shared" si="6"/>
        <v>21</v>
      </c>
      <c r="AD50" s="326">
        <f t="shared" si="7"/>
        <v>0.875</v>
      </c>
      <c r="AE50" s="327">
        <f t="shared" si="8"/>
        <v>15</v>
      </c>
      <c r="AF50" s="328">
        <f t="shared" si="9"/>
        <v>83.333333333333343</v>
      </c>
      <c r="AG50" s="327">
        <f t="shared" si="10"/>
        <v>6</v>
      </c>
      <c r="AH50" s="329">
        <f t="shared" si="11"/>
        <v>100</v>
      </c>
      <c r="AI50" s="456" t="str">
        <f t="shared" si="12"/>
        <v>ВЫСОКИЙ</v>
      </c>
      <c r="AJ50" s="446">
        <f t="shared" si="13"/>
        <v>16.614705882352936</v>
      </c>
      <c r="AK50" s="447">
        <f t="shared" si="14"/>
        <v>0.69227941176470575</v>
      </c>
      <c r="AL50" s="445">
        <v>9</v>
      </c>
      <c r="AM50" s="446">
        <f t="shared" si="15"/>
        <v>77.287581699346404</v>
      </c>
      <c r="AN50" s="442">
        <f>IF($A50=1,IF(OR(AND($E50=1,'Ответы учащихся'!W50=0.4),AND($E50=2,'Ответы учащихся'!W50=0.4),AND($E50=3,'Ответы учащихся'!W50=0.4),AND($E50=4,'Ответы учащихся'!W50=0.4)),1,IF('Ответы учащихся'!W50="N",'Ответы учащихся'!W50,0)),"")</f>
        <v>1</v>
      </c>
      <c r="AO50" s="434">
        <f>IF($A50=1,IF(OR(AND($E50=1,'Ответы учащихся'!X50=0.4),AND($E50=2,'Ответы учащихся'!X50=0.4),AND($E50=3,'Ответы учащихся'!X50=0.4),AND($E50=4,'Ответы учащихся'!X50=0.4)),1,IF('Ответы учащихся'!X50="N",'Ответы учащихся'!X50,0)),"")</f>
        <v>1</v>
      </c>
      <c r="AP50" s="434">
        <f>IF($A50=1,IF(OR(AND($E50=1,'Ответы учащихся'!Y50=0.4),AND($E50=2,'Ответы учащихся'!Y50=0.4),AND($E50=3,'Ответы учащихся'!Y50=0.4),AND($E50=4,'Ответы учащихся'!Y50=0.4)),1,IF('Ответы учащихся'!Y50="N",'Ответы учащихся'!Y50,0)),"")</f>
        <v>1</v>
      </c>
      <c r="AQ50" s="434">
        <f>IF($A50=1,IF(OR(AND($E50=1,'Ответы учащихся'!Z50=0.4),AND($E50=2,'Ответы учащихся'!Z50=0.4),AND($E50=3,'Ответы учащихся'!Z50=0.4),AND($E50=4,'Ответы учащихся'!Z50=0.4)),1,IF('Ответы учащихся'!Z50="N",'Ответы учащихся'!Z50,0)),"")</f>
        <v>1</v>
      </c>
      <c r="AR50" s="434">
        <f>IF($A50=1,IF(OR(AND($E50=1,'Ответы учащихся'!AA50=0.4),AND($E50=2,'Ответы учащихся'!AA50=0.4),AND($E50=3,'Ответы учащихся'!AA50=0.4),AND($E50=4,'Ответы учащихся'!AA50=0.4)),1,IF('Ответы учащихся'!AA50="N",'Ответы учащихся'!AA50,0)),"")</f>
        <v>1</v>
      </c>
      <c r="AS50" s="435">
        <f>IF($A50=1,IF(OR(AND($E50=1,'Ответы учащихся'!AB50=0.5),AND($E50=2,'Ответы учащихся'!AB50=0.5),AND($E50=3,'Ответы учащихся'!AB50=0.5),AND($E50=4,'Ответы учащихся'!AB50=0.5)),1,IF('Ответы учащихся'!AB50="N",'Ответы учащихся'!AB50,0)),"")</f>
        <v>1</v>
      </c>
      <c r="AT50" s="435">
        <f>IF($A50=1,IF(OR(AND($E50=1,'Ответы учащихся'!AC50=0.5),AND($E50=2,'Ответы учащихся'!AC50=0.5),AND($E50=3,'Ответы учащихся'!AC50=0.5),AND($E50=4,'Ответы учащихся'!AC50=0.5)),1,IF('Ответы учащихся'!AC50="N",'Ответы учащихся'!AC50,0)),"")</f>
        <v>1</v>
      </c>
      <c r="AU50" s="435">
        <f>IF($A50=1,IF(OR(AND($E50=1,'Ответы учащихся'!AD50=0.5),AND($E50=2,'Ответы учащихся'!AD50=0.5),AND($E50=3,'Ответы учащихся'!AD50=0.5),AND($E50=4,'Ответы учащихся'!AD50=0.5)),1,IF('Ответы учащихся'!AD50="N",'Ответы учащихся'!AD50,0)),"")</f>
        <v>1</v>
      </c>
      <c r="AV50" s="435">
        <f>IF($A50=1,IF(OR(AND($E50=1,'Ответы учащихся'!AE50=0.5),AND($E50=2,'Ответы учащихся'!AE50=0.5),AND($E50=3,'Ответы учащихся'!AE50=0.5),AND($E50=4,'Ответы учащихся'!AE50=0.5)),1,IF('Ответы учащихся'!AE50="N",'Ответы учащихся'!AE50,0)),"")</f>
        <v>1</v>
      </c>
      <c r="AW50" s="436">
        <f>IF($A50=1,IF(OR(AND($E50=1,'Ответы учащихся'!AF50=0.5),AND($E50=2,'Ответы учащихся'!AF50=0.5),AND($E50=3,'Ответы учащихся'!AF50=0.5),AND($E50=4,'Ответы учащихся'!AF50=0.5)),1,IF('Ответы учащихся'!AF50="N",'Ответы учащихся'!AF50,0)),"")</f>
        <v>1</v>
      </c>
      <c r="AX50" s="436">
        <f>IF($A50=1,IF(OR(AND($E50=1,'Ответы учащихся'!AG50=0.5),AND($E50=2,'Ответы учащихся'!AG50=0.5),AND($E50=3,'Ответы учащихся'!AG50=0.5),AND($E50=4,'Ответы учащихся'!AG50=0.5)),1,IF('Ответы учащихся'!AG50="N",'Ответы учащихся'!AG50,0)),"")</f>
        <v>1</v>
      </c>
      <c r="AY50" s="436">
        <f>IF($A50=1,IF(OR(AND($E50=1,'Ответы учащихся'!AH50=0.5),AND($E50=2,'Ответы учащихся'!AH50=0.5),AND($E50=3,'Ответы учащихся'!AH50=0.5),AND($E50=4,'Ответы учащихся'!AH50=0.5)),1,IF('Ответы учащихся'!AH50="N",'Ответы учащихся'!AH50,0)),"")</f>
        <v>1</v>
      </c>
      <c r="AZ50" s="436">
        <f>IF($A50=1,IF(OR(AND($E50=1,'Ответы учащихся'!AI50=0.5),AND($E50=2,'Ответы учащихся'!AI50=0.5),AND($E50=3,'Ответы учащихся'!AI50=0.5),AND($E50=4,'Ответы учащихся'!AI50=0.5)),1,IF('Ответы учащихся'!AI50="N",'Ответы учащихся'!AI50,0)),"")</f>
        <v>1</v>
      </c>
      <c r="BA50" s="429"/>
      <c r="BB50" s="429"/>
      <c r="BC50" s="429"/>
      <c r="BD50" s="429"/>
      <c r="BE50" s="419"/>
      <c r="BF50" s="419"/>
      <c r="BG50" s="6"/>
      <c r="BH50" s="6"/>
      <c r="BI50" s="6"/>
      <c r="BJ50" s="6"/>
    </row>
    <row r="51" spans="1:90" ht="12.75" customHeight="1" x14ac:dyDescent="0.2">
      <c r="A51" s="12">
        <f>IF('СПИСОК КЛАССА'!J51&gt;0,1,0)</f>
        <v>1</v>
      </c>
      <c r="B51" s="100">
        <v>32</v>
      </c>
      <c r="C51" s="101">
        <f>IF(NOT(ISBLANK('СПИСОК КЛАССА'!C51)),'СПИСОК КЛАССА'!C51,"")</f>
        <v>32</v>
      </c>
      <c r="D51" s="134" t="str">
        <f>IF(NOT(ISBLANK('СПИСОК КЛАССА'!D51)),IF($A51=1,'СПИСОК КЛАССА'!D51, "УЧЕНИК НЕ ВЫПОЛНЯЛ РАБОТУ"),"")</f>
        <v/>
      </c>
      <c r="E51" s="460">
        <f>IF($C51&lt;&gt;"",'СПИСОК КЛАССА'!J51,"")</f>
        <v>3</v>
      </c>
      <c r="F51" s="133">
        <f>IF(AND(OR($C51&lt;&gt;"",$D51&lt;&gt;""),$A51=1,$AI$2="ДА"),'Ответы учащихся'!E51,"")</f>
        <v>1</v>
      </c>
      <c r="G51" s="102">
        <f>IF(AND(OR($C51&lt;&gt;"",$D51&lt;&gt;""),$A51=1,$AI$2="ДА"),(IF($A51=1,IF(OR(AND($E51=1,'Ответы учащихся'!F51=2),AND($E51=2,'Ответы учащихся'!F51=4),AND($E51=3,OR('Ответы учащихся'!F51=3,'Ответы учащихся'!F51=4)),AND($E51=4,'Ответы учащихся'!F51=1)),1,IF('Ответы учащихся'!F51="N",'Ответы учащихся'!F51,0)),"")),"")</f>
        <v>1</v>
      </c>
      <c r="H51" s="102">
        <f>IF(AND(OR($C51&lt;&gt;"",$D51&lt;&gt;""),$A51=1,$AI$2="ДА"),(IF($A51=1,IF(OR(AND($E51=1,'Ответы учащихся'!G51=1),AND($E51=2,'Ответы учащихся'!G51=3),AND($E51=3,'Ответы учащихся'!G51=3),AND($E51=4,'Ответы учащихся'!G51=3)),1,IF('Ответы учащихся'!G51="N",'Ответы учащихся'!G51,0)),"")),"")</f>
        <v>1</v>
      </c>
      <c r="I51" s="102">
        <f>IF(AND(OR($C51&lt;&gt;"",$D51&lt;&gt;""),$A51=1,$AI$2="ДА"),(IF($A51=1,IF(OR(AND($E51=1,'Ответы учащихся'!H51=-6),AND($E51=2,'Ответы учащихся'!H51=3),AND($E51=3,'Ответы учащихся'!H51=-8),AND($E51=4,'Ответы учащихся'!H51=-6)),1,IF('Ответы учащихся'!H51="N",'Ответы учащихся'!H51,0)),"")),"")</f>
        <v>1</v>
      </c>
      <c r="J51" s="102">
        <f>IF(AND(OR($C51&lt;&gt;"",$D51&lt;&gt;""),$A51=1,$AI$2="ДА"),(IF($A51=1,IF(OR(AND($E51=1,'Ответы учащихся'!I51=3412),AND($E51=2,'Ответы учащихся'!I51=2314),AND($E51=3,'Ответы учащихся'!I51=3142),AND($E51=4,'Ответы учащихся'!I51=1234)),1,IF('Ответы учащихся'!I51="N",'Ответы учащихся'!I51,0)),"")),"")</f>
        <v>1</v>
      </c>
      <c r="K51" s="102">
        <f>IF(AND(OR($C51&lt;&gt;"",$D51&lt;&gt;""),$A51=1,$AI$2="ДА"),(IF($A51=1,IF(OR(AND($E51=1,'Ответы учащихся'!J51=390),AND($E51=2,'Ответы учащихся'!J51=273),AND($E51=3,'Ответы учащихся'!J51=205),AND($E51=4,'Ответы учащихся'!J51=240)),1,IF('Ответы учащихся'!J51="N",'Ответы учащихся'!J51,0)),"")),"")</f>
        <v>1</v>
      </c>
      <c r="L51" s="102">
        <f>IF(AND(OR($C51&lt;&gt;"",$D51&lt;&gt;""),$A51=1,$AI$2="ДА"),(IF($A51=1,IF(OR(AND($E51=1,'Ответы учащихся'!K51=1),AND($E51=2,'Ответы учащихся'!K51=2),AND($E51=3,'Ответы учащихся'!K51=4),AND($E51=4,'Ответы учащихся'!K51=3)),1,IF('Ответы учащихся'!K51="N",'Ответы учащихся'!K51,0)),"")),"")</f>
        <v>1</v>
      </c>
      <c r="M51" s="102">
        <f>IF(AND(OR($C51&lt;&gt;"",$D51&lt;&gt;""),$A51=1,$AI$2="ДА"),(IF($A51=1,IF(OR(AND($E51=1,'Ответы учащихся'!L51=3),AND($E51=2,'Ответы учащихся'!L51=1),AND($E51=3,'Ответы учащихся'!L51=4),AND($E51=4,'Ответы учащихся'!L51=2)),1,IF('Ответы учащихся'!L51="N",'Ответы учащихся'!L51,0)),"")),"")</f>
        <v>1</v>
      </c>
      <c r="N51" s="102">
        <f>IF(AND(OR($C51&lt;&gt;"",$D51&lt;&gt;""),$A51=1,$AI$2="ДА"),'Ответы учащихся'!M51,"")</f>
        <v>1</v>
      </c>
      <c r="O51" s="102">
        <f>IF(AND(OR($C51&lt;&gt;"",$D51&lt;&gt;""),$A51=1,$AI$2="ДА"),(IF($A51=1,IF(OR(AND($E51=1,'Ответы учащихся'!N51=3),AND($E51=2,'Ответы учащихся'!N51=2),AND($E51=3,'Ответы учащихся'!N51=4),AND($E51=4,'Ответы учащихся'!N51=1)),1,IF('Ответы учащихся'!N51="N",'Ответы учащихся'!N51,0)),"")),"")</f>
        <v>1</v>
      </c>
      <c r="P51" s="102">
        <f>IF(AND(OR($C51&lt;&gt;"",$D51&lt;&gt;""),$A51=1,$AI$2="ДА"),(IF($A51=1,IF(OR(AND($E51=1,'Ответы учащихся'!O51="БВ"),AND($E51=2,'Ответы учащихся'!O51="АВГ"),AND($E51=3,'Ответы учащихся'!O51="БВГ"),AND($E51=4,'Ответы учащихся'!O51="АВ")),1,IF('Ответы учащихся'!O51="N",'Ответы учащихся'!O51,0)),"")),"")</f>
        <v>1</v>
      </c>
      <c r="Q51" s="102">
        <f>IF(AND(OR($C51&lt;&gt;"",$D51&lt;&gt;""),$A51=1,$AI$2="ДА"),(IF($A51=1,IF(OR(AND($E51=1,'Ответы учащихся'!P51=2351),AND($E51=2,'Ответы учащихся'!P51=4132),AND($E51=3,'Ответы учащихся'!P51=3412),AND($E51=4,'Ответы учащихся'!P51=3125)),1,IF('Ответы учащихся'!P51="N",'Ответы учащихся'!P51,0)),"")),"")</f>
        <v>1</v>
      </c>
      <c r="R51" s="102">
        <f>IF(AND(OR($C51&lt;&gt;"",$D51&lt;&gt;""),$A51=1,$AI$2="ДА"),(IF($A51=1,IF(OR(AND($E51=1,'Ответы учащихся'!Q51=2),AND($E51=2,'Ответы учащихся'!Q51=9),AND($E51=3,'Ответы учащихся'!Q51=5),AND($E51=4,'Ответы учащихся'!Q51=2)),1,IF('Ответы учащихся'!Q51="N",'Ответы учащихся'!Q51,0)),"")),"")</f>
        <v>1</v>
      </c>
      <c r="S51" s="102">
        <f>IF(AND(OR($C51&lt;&gt;"",$D51&lt;&gt;""),$A51=1,$AI$2="ДА"),(IF($A51=1,IF(OR(AND($E51=1,'Ответы учащихся'!R51=35),AND($E51=2,'Ответы учащихся'!R51=74),AND($E51=3,'Ответы учащихся'!R51=72),AND($E51=4,'Ответы учащихся'!R51=66)),1,IF('Ответы учащихся'!R51="N",'Ответы учащихся'!R51,0)),"")),"")</f>
        <v>1</v>
      </c>
      <c r="T51" s="102">
        <f>IF(AND(OR($C51&lt;&gt;"",$D51&lt;&gt;""),$A51=1,$AI$2="ДА"),(IF($A51=1,IF(OR(AND($E51=1,'Ответы учащихся'!S51=60),AND($E51=2,'Ответы учащихся'!S51=40),AND($E51=3,'Ответы учащихся'!S51=30),AND($E51=4,'Ответы учащихся'!S51=18)),1,IF('Ответы учащихся'!S51="N",'Ответы учащихся'!S51,0)),"")),"")</f>
        <v>0</v>
      </c>
      <c r="U51" s="102">
        <f>IF(AND(OR($C51&lt;&gt;"",$D51&lt;&gt;""),$A51=1,$AI$2="ДА"),(IF($A51=1,IF(OR(AND($E51=1,'Ответы учащихся'!T51=3),AND($E51=2,'Ответы учащихся'!T51=4),AND($E51=3,'Ответы учащихся'!T51=2),AND($E51=4,'Ответы учащихся'!T51=3)),1,IF('Ответы учащихся'!T51="N",'Ответы учащихся'!T51,0)),"")),"")</f>
        <v>1</v>
      </c>
      <c r="V51" s="102">
        <f>IF(AND(OR($C51&lt;&gt;"",$D51&lt;&gt;""),$A51=1,$AI$2="ДА"),(IF($A51=1,IF(OR(AND($E51=1,'Ответы учащихся'!U51=11),AND($E51=2,'Ответы учащихся'!U51=14),AND($E51=3,'Ответы учащихся'!U51=-2),AND($E51=4,'Ответы учащихся'!U51=25)),1,IF('Ответы учащихся'!U51="N",'Ответы учащихся'!U51,0)),"")),"")</f>
        <v>1</v>
      </c>
      <c r="W51" s="102">
        <f>IF(AND(OR($C51&lt;&gt;"",$D51&lt;&gt;""),$A51=1,$AI$2="ДА"),(IF($A51=1,IF(OR(AND($E51=1,'Ответы учащихся'!V51=3000),AND($E51=2,'Ответы учащихся'!V51=2500),AND($E51=3,'Ответы учащихся'!V51=1500),AND($E51=4,'Ответы учащихся'!V51=1500)),1,IF('Ответы учащихся'!V51="N",'Ответы учащихся'!V51,0)),"")),"")</f>
        <v>1</v>
      </c>
      <c r="X51" s="102"/>
      <c r="Y51" s="102">
        <f>IF(AND(OR($C51&lt;&gt;"",$D51&lt;&gt;""),$A51=1,$AI$2="ДА"),(IF($A51=1,IF(AND('Ответы учащихся'!$W51&lt;&gt;"N",'Ответы учащихся'!$X51&lt;&gt;"N",'Ответы учащихся'!$Y51&lt;&gt;"N",'Ответы учащихся'!$Z51&lt;&gt;"N",'Ответы учащихся'!$AA51&lt;&gt;"N"),(SUM('Ответы учащихся'!$W51:$AA51)),"N"),"")),"")</f>
        <v>0.8</v>
      </c>
      <c r="Z51" s="102"/>
      <c r="AA51" s="102">
        <f>IF(AND(OR($C51&lt;&gt;"",$D51&lt;&gt;""),$A51=1,$AI$2="ДА"),(IF($A51=1,IF(AND('Ответы учащихся'!$AB51&lt;&gt;"N",'Ответы учащихся'!$AC51&lt;&gt;"N",'Ответы учащихся'!$AD51&lt;&gt;"N",'Ответы учащихся'!$AE51&lt;&gt;"N"),(SUM('Ответы учащихся'!$AB51:$AE51)),"N"),"")),"")</f>
        <v>2</v>
      </c>
      <c r="AB51" s="289" t="str">
        <f>IF(AND(OR($C51&lt;&gt;"",$D51&lt;&gt;""),$A51=1,$AI$2="ДА"),(IF($A51=1,IF(AND('Ответы учащихся'!$AF51&lt;&gt;"N",'Ответы учащихся'!$AG51&lt;&gt;"N",'Ответы учащихся'!$AH51&lt;&gt;"N",'Ответы учащихся'!$AI51&lt;&gt;"N"),(SUM('Ответы учащихся'!$AF51:$AI51)),"N"),"")),"")</f>
        <v>N</v>
      </c>
      <c r="AC51" s="468">
        <f t="shared" si="6"/>
        <v>19.8</v>
      </c>
      <c r="AD51" s="326">
        <f t="shared" si="7"/>
        <v>0.82500000000000007</v>
      </c>
      <c r="AE51" s="327">
        <f t="shared" si="8"/>
        <v>17</v>
      </c>
      <c r="AF51" s="328">
        <f t="shared" si="9"/>
        <v>94.444444444444443</v>
      </c>
      <c r="AG51" s="327">
        <f t="shared" si="10"/>
        <v>2.8</v>
      </c>
      <c r="AH51" s="329">
        <f t="shared" si="11"/>
        <v>46.666666666666664</v>
      </c>
      <c r="AI51" s="456" t="str">
        <f t="shared" si="12"/>
        <v>ПОВЫШЕННЫЙ</v>
      </c>
      <c r="AJ51" s="446">
        <f t="shared" si="13"/>
        <v>16.614705882352936</v>
      </c>
      <c r="AK51" s="447">
        <f t="shared" si="14"/>
        <v>0.69227941176470575</v>
      </c>
      <c r="AL51" s="445">
        <v>9</v>
      </c>
      <c r="AM51" s="446">
        <f t="shared" si="15"/>
        <v>77.287581699346404</v>
      </c>
      <c r="AN51" s="442">
        <f>IF($A51=1,IF(OR(AND($E51=1,'Ответы учащихся'!W51=0.4),AND($E51=2,'Ответы учащихся'!W51=0.4),AND($E51=3,'Ответы учащихся'!W51=0.4),AND($E51=4,'Ответы учащихся'!W51=0.4)),1,IF('Ответы учащихся'!W51="N",'Ответы учащихся'!W51,0)),"")</f>
        <v>1</v>
      </c>
      <c r="AO51" s="434">
        <f>IF($A51=1,IF(OR(AND($E51=1,'Ответы учащихся'!X51=0.4),AND($E51=2,'Ответы учащихся'!X51=0.4),AND($E51=3,'Ответы учащихся'!X51=0.4),AND($E51=4,'Ответы учащихся'!X51=0.4)),1,IF('Ответы учащихся'!X51="N",'Ответы учащихся'!X51,0)),"")</f>
        <v>1</v>
      </c>
      <c r="AP51" s="434">
        <f>IF($A51=1,IF(OR(AND($E51=1,'Ответы учащихся'!Y51=0.4),AND($E51=2,'Ответы учащихся'!Y51=0.4),AND($E51=3,'Ответы учащихся'!Y51=0.4),AND($E51=4,'Ответы учащихся'!Y51=0.4)),1,IF('Ответы учащихся'!Y51="N",'Ответы учащихся'!Y51,0)),"")</f>
        <v>0</v>
      </c>
      <c r="AQ51" s="434">
        <f>IF($A51=1,IF(OR(AND($E51=1,'Ответы учащихся'!Z51=0.4),AND($E51=2,'Ответы учащихся'!Z51=0.4),AND($E51=3,'Ответы учащихся'!Z51=0.4),AND($E51=4,'Ответы учащихся'!Z51=0.4)),1,IF('Ответы учащихся'!Z51="N",'Ответы учащихся'!Z51,0)),"")</f>
        <v>0</v>
      </c>
      <c r="AR51" s="434">
        <f>IF($A51=1,IF(OR(AND($E51=1,'Ответы учащихся'!AA51=0.4),AND($E51=2,'Ответы учащихся'!AA51=0.4),AND($E51=3,'Ответы учащихся'!AA51=0.4),AND($E51=4,'Ответы учащихся'!AA51=0.4)),1,IF('Ответы учащихся'!AA51="N",'Ответы учащихся'!AA51,0)),"")</f>
        <v>0</v>
      </c>
      <c r="AS51" s="435">
        <f>IF($A51=1,IF(OR(AND($E51=1,'Ответы учащихся'!AB51=0.5),AND($E51=2,'Ответы учащихся'!AB51=0.5),AND($E51=3,'Ответы учащихся'!AB51=0.5),AND($E51=4,'Ответы учащихся'!AB51=0.5)),1,IF('Ответы учащихся'!AB51="N",'Ответы учащихся'!AB51,0)),"")</f>
        <v>1</v>
      </c>
      <c r="AT51" s="435">
        <f>IF($A51=1,IF(OR(AND($E51=1,'Ответы учащихся'!AC51=0.5),AND($E51=2,'Ответы учащихся'!AC51=0.5),AND($E51=3,'Ответы учащихся'!AC51=0.5),AND($E51=4,'Ответы учащихся'!AC51=0.5)),1,IF('Ответы учащихся'!AC51="N",'Ответы учащихся'!AC51,0)),"")</f>
        <v>1</v>
      </c>
      <c r="AU51" s="435">
        <f>IF($A51=1,IF(OR(AND($E51=1,'Ответы учащихся'!AD51=0.5),AND($E51=2,'Ответы учащихся'!AD51=0.5),AND($E51=3,'Ответы учащихся'!AD51=0.5),AND($E51=4,'Ответы учащихся'!AD51=0.5)),1,IF('Ответы учащихся'!AD51="N",'Ответы учащихся'!AD51,0)),"")</f>
        <v>1</v>
      </c>
      <c r="AV51" s="435">
        <f>IF($A51=1,IF(OR(AND($E51=1,'Ответы учащихся'!AE51=0.5),AND($E51=2,'Ответы учащихся'!AE51=0.5),AND($E51=3,'Ответы учащихся'!AE51=0.5),AND($E51=4,'Ответы учащихся'!AE51=0.5)),1,IF('Ответы учащихся'!AE51="N",'Ответы учащихся'!AE51,0)),"")</f>
        <v>1</v>
      </c>
      <c r="AW51" s="436" t="str">
        <f>IF($A51=1,IF(OR(AND($E51=1,'Ответы учащихся'!AF51=0.5),AND($E51=2,'Ответы учащихся'!AF51=0.5),AND($E51=3,'Ответы учащихся'!AF51=0.5),AND($E51=4,'Ответы учащихся'!AF51=0.5)),1,IF('Ответы учащихся'!AF51="N",'Ответы учащихся'!AF51,0)),"")</f>
        <v>N</v>
      </c>
      <c r="AX51" s="436" t="str">
        <f>IF($A51=1,IF(OR(AND($E51=1,'Ответы учащихся'!AG51=0.5),AND($E51=2,'Ответы учащихся'!AG51=0.5),AND($E51=3,'Ответы учащихся'!AG51=0.5),AND($E51=4,'Ответы учащихся'!AG51=0.5)),1,IF('Ответы учащихся'!AG51="N",'Ответы учащихся'!AG51,0)),"")</f>
        <v>N</v>
      </c>
      <c r="AY51" s="436" t="str">
        <f>IF($A51=1,IF(OR(AND($E51=1,'Ответы учащихся'!AH51=0.5),AND($E51=2,'Ответы учащихся'!AH51=0.5),AND($E51=3,'Ответы учащихся'!AH51=0.5),AND($E51=4,'Ответы учащихся'!AH51=0.5)),1,IF('Ответы учащихся'!AH51="N",'Ответы учащихся'!AH51,0)),"")</f>
        <v>N</v>
      </c>
      <c r="AZ51" s="436" t="str">
        <f>IF($A51=1,IF(OR(AND($E51=1,'Ответы учащихся'!AI51=0.5),AND($E51=2,'Ответы учащихся'!AI51=0.5),AND($E51=3,'Ответы учащихся'!AI51=0.5),AND($E51=4,'Ответы учащихся'!AI51=0.5)),1,IF('Ответы учащихся'!AI51="N",'Ответы учащихся'!AI51,0)),"")</f>
        <v>N</v>
      </c>
      <c r="BA51" s="429"/>
      <c r="BB51" s="429"/>
      <c r="BC51" s="429"/>
      <c r="BD51" s="429"/>
      <c r="BE51" s="419"/>
      <c r="BF51" s="419"/>
      <c r="BG51" s="6"/>
      <c r="BH51" s="6"/>
      <c r="BI51" s="6"/>
      <c r="BJ51" s="6"/>
    </row>
    <row r="52" spans="1:90" ht="12.75" customHeight="1" x14ac:dyDescent="0.2">
      <c r="A52" s="12">
        <f>IF('СПИСОК КЛАССА'!J52&gt;0,1,0)</f>
        <v>1</v>
      </c>
      <c r="B52" s="100">
        <v>33</v>
      </c>
      <c r="C52" s="101">
        <f>IF(NOT(ISBLANK('СПИСОК КЛАССА'!C52)),'СПИСОК КЛАССА'!C52,"")</f>
        <v>33</v>
      </c>
      <c r="D52" s="134" t="str">
        <f>IF(NOT(ISBLANK('СПИСОК КЛАССА'!D52)),IF($A52=1,'СПИСОК КЛАССА'!D52, "УЧЕНИК НЕ ВЫПОЛНЯЛ РАБОТУ"),"")</f>
        <v/>
      </c>
      <c r="E52" s="460">
        <f>IF($C52&lt;&gt;"",'СПИСОК КЛАССА'!J52,"")</f>
        <v>4</v>
      </c>
      <c r="F52" s="133">
        <f>IF(AND(OR($C52&lt;&gt;"",$D52&lt;&gt;""),$A52=1,$AI$2="ДА"),'Ответы учащихся'!E52,"")</f>
        <v>1</v>
      </c>
      <c r="G52" s="102">
        <f>IF(AND(OR($C52&lt;&gt;"",$D52&lt;&gt;""),$A52=1,$AI$2="ДА"),(IF($A52=1,IF(OR(AND($E52=1,'Ответы учащихся'!F52=2),AND($E52=2,'Ответы учащихся'!F52=4),AND($E52=3,OR('Ответы учащихся'!F52=3,'Ответы учащихся'!F52=4)),AND($E52=4,'Ответы учащихся'!F52=1)),1,IF('Ответы учащихся'!F52="N",'Ответы учащихся'!F52,0)),"")),"")</f>
        <v>1</v>
      </c>
      <c r="H52" s="102">
        <f>IF(AND(OR($C52&lt;&gt;"",$D52&lt;&gt;""),$A52=1,$AI$2="ДА"),(IF($A52=1,IF(OR(AND($E52=1,'Ответы учащихся'!G52=1),AND($E52=2,'Ответы учащихся'!G52=3),AND($E52=3,'Ответы учащихся'!G52=3),AND($E52=4,'Ответы учащихся'!G52=3)),1,IF('Ответы учащихся'!G52="N",'Ответы учащихся'!G52,0)),"")),"")</f>
        <v>1</v>
      </c>
      <c r="I52" s="102">
        <f>IF(AND(OR($C52&lt;&gt;"",$D52&lt;&gt;""),$A52=1,$AI$2="ДА"),(IF($A52=1,IF(OR(AND($E52=1,'Ответы учащихся'!H52=-6),AND($E52=2,'Ответы учащихся'!H52=3),AND($E52=3,'Ответы учащихся'!H52=-8),AND($E52=4,'Ответы учащихся'!H52=-6)),1,IF('Ответы учащихся'!H52="N",'Ответы учащихся'!H52,0)),"")),"")</f>
        <v>1</v>
      </c>
      <c r="J52" s="102">
        <f>IF(AND(OR($C52&lt;&gt;"",$D52&lt;&gt;""),$A52=1,$AI$2="ДА"),(IF($A52=1,IF(OR(AND($E52=1,'Ответы учащихся'!I52=3412),AND($E52=2,'Ответы учащихся'!I52=2314),AND($E52=3,'Ответы учащихся'!I52=3142),AND($E52=4,'Ответы учащихся'!I52=1234)),1,IF('Ответы учащихся'!I52="N",'Ответы учащихся'!I52,0)),"")),"")</f>
        <v>1</v>
      </c>
      <c r="K52" s="102">
        <f>IF(AND(OR($C52&lt;&gt;"",$D52&lt;&gt;""),$A52=1,$AI$2="ДА"),(IF($A52=1,IF(OR(AND($E52=1,'Ответы учащихся'!J52=390),AND($E52=2,'Ответы учащихся'!J52=273),AND($E52=3,'Ответы учащихся'!J52=205),AND($E52=4,'Ответы учащихся'!J52=240)),1,IF('Ответы учащихся'!J52="N",'Ответы учащихся'!J52,0)),"")),"")</f>
        <v>1</v>
      </c>
      <c r="L52" s="102">
        <f>IF(AND(OR($C52&lt;&gt;"",$D52&lt;&gt;""),$A52=1,$AI$2="ДА"),(IF($A52=1,IF(OR(AND($E52=1,'Ответы учащихся'!K52=1),AND($E52=2,'Ответы учащихся'!K52=2),AND($E52=3,'Ответы учащихся'!K52=4),AND($E52=4,'Ответы учащихся'!K52=3)),1,IF('Ответы учащихся'!K52="N",'Ответы учащихся'!K52,0)),"")),"")</f>
        <v>1</v>
      </c>
      <c r="M52" s="102">
        <f>IF(AND(OR($C52&lt;&gt;"",$D52&lt;&gt;""),$A52=1,$AI$2="ДА"),(IF($A52=1,IF(OR(AND($E52=1,'Ответы учащихся'!L52=3),AND($E52=2,'Ответы учащихся'!L52=1),AND($E52=3,'Ответы учащихся'!L52=4),AND($E52=4,'Ответы учащихся'!L52=2)),1,IF('Ответы учащихся'!L52="N",'Ответы учащихся'!L52,0)),"")),"")</f>
        <v>1</v>
      </c>
      <c r="N52" s="102">
        <f>IF(AND(OR($C52&lt;&gt;"",$D52&lt;&gt;""),$A52=1,$AI$2="ДА"),'Ответы учащихся'!M52,"")</f>
        <v>0</v>
      </c>
      <c r="O52" s="102">
        <f>IF(AND(OR($C52&lt;&gt;"",$D52&lt;&gt;""),$A52=1,$AI$2="ДА"),(IF($A52=1,IF(OR(AND($E52=1,'Ответы учащихся'!N52=3),AND($E52=2,'Ответы учащихся'!N52=2),AND($E52=3,'Ответы учащихся'!N52=4),AND($E52=4,'Ответы учащихся'!N52=1)),1,IF('Ответы учащихся'!N52="N",'Ответы учащихся'!N52,0)),"")),"")</f>
        <v>1</v>
      </c>
      <c r="P52" s="102">
        <f>IF(AND(OR($C52&lt;&gt;"",$D52&lt;&gt;""),$A52=1,$AI$2="ДА"),(IF($A52=1,IF(OR(AND($E52=1,'Ответы учащихся'!O52="БВ"),AND($E52=2,'Ответы учащихся'!O52="АВГ"),AND($E52=3,'Ответы учащихся'!O52="БВГ"),AND($E52=4,'Ответы учащихся'!O52="АВ")),1,IF('Ответы учащихся'!O52="N",'Ответы учащихся'!O52,0)),"")),"")</f>
        <v>1</v>
      </c>
      <c r="Q52" s="102">
        <f>IF(AND(OR($C52&lt;&gt;"",$D52&lt;&gt;""),$A52=1,$AI$2="ДА"),(IF($A52=1,IF(OR(AND($E52=1,'Ответы учащихся'!P52=2351),AND($E52=2,'Ответы учащихся'!P52=4132),AND($E52=3,'Ответы учащихся'!P52=3412),AND($E52=4,'Ответы учащихся'!P52=3125)),1,IF('Ответы учащихся'!P52="N",'Ответы учащихся'!P52,0)),"")),"")</f>
        <v>0</v>
      </c>
      <c r="R52" s="102">
        <f>IF(AND(OR($C52&lt;&gt;"",$D52&lt;&gt;""),$A52=1,$AI$2="ДА"),(IF($A52=1,IF(OR(AND($E52=1,'Ответы учащихся'!Q52=2),AND($E52=2,'Ответы учащихся'!Q52=9),AND($E52=3,'Ответы учащихся'!Q52=5),AND($E52=4,'Ответы учащихся'!Q52=2)),1,IF('Ответы учащихся'!Q52="N",'Ответы учащихся'!Q52,0)),"")),"")</f>
        <v>0</v>
      </c>
      <c r="S52" s="102">
        <f>IF(AND(OR($C52&lt;&gt;"",$D52&lt;&gt;""),$A52=1,$AI$2="ДА"),(IF($A52=1,IF(OR(AND($E52=1,'Ответы учащихся'!R52=35),AND($E52=2,'Ответы учащихся'!R52=74),AND($E52=3,'Ответы учащихся'!R52=72),AND($E52=4,'Ответы учащихся'!R52=66)),1,IF('Ответы учащихся'!R52="N",'Ответы учащихся'!R52,0)),"")),"")</f>
        <v>0</v>
      </c>
      <c r="T52" s="102">
        <f>IF(AND(OR($C52&lt;&gt;"",$D52&lt;&gt;""),$A52=1,$AI$2="ДА"),(IF($A52=1,IF(OR(AND($E52=1,'Ответы учащихся'!S52=60),AND($E52=2,'Ответы учащихся'!S52=40),AND($E52=3,'Ответы учащихся'!S52=30),AND($E52=4,'Ответы учащихся'!S52=18)),1,IF('Ответы учащихся'!S52="N",'Ответы учащихся'!S52,0)),"")),"")</f>
        <v>0</v>
      </c>
      <c r="U52" s="102">
        <f>IF(AND(OR($C52&lt;&gt;"",$D52&lt;&gt;""),$A52=1,$AI$2="ДА"),(IF($A52=1,IF(OR(AND($E52=1,'Ответы учащихся'!T52=3),AND($E52=2,'Ответы учащихся'!T52=4),AND($E52=3,'Ответы учащихся'!T52=2),AND($E52=4,'Ответы учащихся'!T52=3)),1,IF('Ответы учащихся'!T52="N",'Ответы учащихся'!T52,0)),"")),"")</f>
        <v>1</v>
      </c>
      <c r="V52" s="102">
        <f>IF(AND(OR($C52&lt;&gt;"",$D52&lt;&gt;""),$A52=1,$AI$2="ДА"),(IF($A52=1,IF(OR(AND($E52=1,'Ответы учащихся'!U52=11),AND($E52=2,'Ответы учащихся'!U52=14),AND($E52=3,'Ответы учащихся'!U52=-2),AND($E52=4,'Ответы учащихся'!U52=25)),1,IF('Ответы учащихся'!U52="N",'Ответы учащихся'!U52,0)),"")),"")</f>
        <v>1</v>
      </c>
      <c r="W52" s="102">
        <f>IF(AND(OR($C52&lt;&gt;"",$D52&lt;&gt;""),$A52=1,$AI$2="ДА"),(IF($A52=1,IF(OR(AND($E52=1,'Ответы учащихся'!V52=3000),AND($E52=2,'Ответы учащихся'!V52=2500),AND($E52=3,'Ответы учащихся'!V52=1500),AND($E52=4,'Ответы учащихся'!V52=1500)),1,IF('Ответы учащихся'!V52="N",'Ответы учащихся'!V52,0)),"")),"")</f>
        <v>1</v>
      </c>
      <c r="X52" s="102"/>
      <c r="Y52" s="102">
        <f>IF(AND(OR($C52&lt;&gt;"",$D52&lt;&gt;""),$A52=1,$AI$2="ДА"),(IF($A52=1,IF(AND('Ответы учащихся'!$W52&lt;&gt;"N",'Ответы учащихся'!$X52&lt;&gt;"N",'Ответы учащихся'!$Y52&lt;&gt;"N",'Ответы учащихся'!$Z52&lt;&gt;"N",'Ответы учащихся'!$AA52&lt;&gt;"N"),(SUM('Ответы учащихся'!$W52:$AA52)),"N"),"")),"")</f>
        <v>0.8</v>
      </c>
      <c r="Z52" s="102"/>
      <c r="AA52" s="102">
        <f>IF(AND(OR($C52&lt;&gt;"",$D52&lt;&gt;""),$A52=1,$AI$2="ДА"),(IF($A52=1,IF(AND('Ответы учащихся'!$AB52&lt;&gt;"N",'Ответы учащихся'!$AC52&lt;&gt;"N",'Ответы учащихся'!$AD52&lt;&gt;"N",'Ответы учащихся'!$AE52&lt;&gt;"N"),(SUM('Ответы учащихся'!$AB52:$AE52)),"N"),"")),"")</f>
        <v>2</v>
      </c>
      <c r="AB52" s="289">
        <f>IF(AND(OR($C52&lt;&gt;"",$D52&lt;&gt;""),$A52=1,$AI$2="ДА"),(IF($A52=1,IF(AND('Ответы учащихся'!$AF52&lt;&gt;"N",'Ответы учащихся'!$AG52&lt;&gt;"N",'Ответы учащихся'!$AH52&lt;&gt;"N",'Ответы учащихся'!$AI52&lt;&gt;"N"),(SUM('Ответы учащихся'!$AF52:$AI52)),"N"),"")),"")</f>
        <v>2</v>
      </c>
      <c r="AC52" s="468">
        <f t="shared" si="6"/>
        <v>17.8</v>
      </c>
      <c r="AD52" s="326">
        <f t="shared" si="7"/>
        <v>0.7416666666666667</v>
      </c>
      <c r="AE52" s="327">
        <f t="shared" si="8"/>
        <v>13</v>
      </c>
      <c r="AF52" s="328">
        <f t="shared" si="9"/>
        <v>72.222222222222214</v>
      </c>
      <c r="AG52" s="327">
        <f t="shared" si="10"/>
        <v>4.8</v>
      </c>
      <c r="AH52" s="329">
        <f t="shared" si="11"/>
        <v>80</v>
      </c>
      <c r="AI52" s="456" t="str">
        <f t="shared" si="12"/>
        <v>БАЗОВЫЙ</v>
      </c>
      <c r="AJ52" s="446">
        <f t="shared" si="13"/>
        <v>16.614705882352936</v>
      </c>
      <c r="AK52" s="447">
        <f t="shared" si="14"/>
        <v>0.69227941176470575</v>
      </c>
      <c r="AL52" s="445">
        <v>9</v>
      </c>
      <c r="AM52" s="446">
        <f t="shared" si="15"/>
        <v>77.287581699346404</v>
      </c>
      <c r="AN52" s="442">
        <f>IF($A52=1,IF(OR(AND($E52=1,'Ответы учащихся'!W52=0.4),AND($E52=2,'Ответы учащихся'!W52=0.4),AND($E52=3,'Ответы учащихся'!W52=0.4),AND($E52=4,'Ответы учащихся'!W52=0.4)),1,IF('Ответы учащихся'!W52="N",'Ответы учащихся'!W52,0)),"")</f>
        <v>1</v>
      </c>
      <c r="AO52" s="434">
        <f>IF($A52=1,IF(OR(AND($E52=1,'Ответы учащихся'!X52=0.4),AND($E52=2,'Ответы учащихся'!X52=0.4),AND($E52=3,'Ответы учащихся'!X52=0.4),AND($E52=4,'Ответы учащихся'!X52=0.4)),1,IF('Ответы учащихся'!X52="N",'Ответы учащихся'!X52,0)),"")</f>
        <v>1</v>
      </c>
      <c r="AP52" s="434">
        <f>IF($A52=1,IF(OR(AND($E52=1,'Ответы учащихся'!Y52=0.4),AND($E52=2,'Ответы учащихся'!Y52=0.4),AND($E52=3,'Ответы учащихся'!Y52=0.4),AND($E52=4,'Ответы учащихся'!Y52=0.4)),1,IF('Ответы учащихся'!Y52="N",'Ответы учащихся'!Y52,0)),"")</f>
        <v>0</v>
      </c>
      <c r="AQ52" s="434">
        <f>IF($A52=1,IF(OR(AND($E52=1,'Ответы учащихся'!Z52=0.4),AND($E52=2,'Ответы учащихся'!Z52=0.4),AND($E52=3,'Ответы учащихся'!Z52=0.4),AND($E52=4,'Ответы учащихся'!Z52=0.4)),1,IF('Ответы учащихся'!Z52="N",'Ответы учащихся'!Z52,0)),"")</f>
        <v>0</v>
      </c>
      <c r="AR52" s="434">
        <f>IF($A52=1,IF(OR(AND($E52=1,'Ответы учащихся'!AA52=0.4),AND($E52=2,'Ответы учащихся'!AA52=0.4),AND($E52=3,'Ответы учащихся'!AA52=0.4),AND($E52=4,'Ответы учащихся'!AA52=0.4)),1,IF('Ответы учащихся'!AA52="N",'Ответы учащихся'!AA52,0)),"")</f>
        <v>0</v>
      </c>
      <c r="AS52" s="435">
        <f>IF($A52=1,IF(OR(AND($E52=1,'Ответы учащихся'!AB52=0.5),AND($E52=2,'Ответы учащихся'!AB52=0.5),AND($E52=3,'Ответы учащихся'!AB52=0.5),AND($E52=4,'Ответы учащихся'!AB52=0.5)),1,IF('Ответы учащихся'!AB52="N",'Ответы учащихся'!AB52,0)),"")</f>
        <v>1</v>
      </c>
      <c r="AT52" s="435">
        <f>IF($A52=1,IF(OR(AND($E52=1,'Ответы учащихся'!AC52=0.5),AND($E52=2,'Ответы учащихся'!AC52=0.5),AND($E52=3,'Ответы учащихся'!AC52=0.5),AND($E52=4,'Ответы учащихся'!AC52=0.5)),1,IF('Ответы учащихся'!AC52="N",'Ответы учащихся'!AC52,0)),"")</f>
        <v>1</v>
      </c>
      <c r="AU52" s="435">
        <f>IF($A52=1,IF(OR(AND($E52=1,'Ответы учащихся'!AD52=0.5),AND($E52=2,'Ответы учащихся'!AD52=0.5),AND($E52=3,'Ответы учащихся'!AD52=0.5),AND($E52=4,'Ответы учащихся'!AD52=0.5)),1,IF('Ответы учащихся'!AD52="N",'Ответы учащихся'!AD52,0)),"")</f>
        <v>1</v>
      </c>
      <c r="AV52" s="435">
        <f>IF($A52=1,IF(OR(AND($E52=1,'Ответы учащихся'!AE52=0.5),AND($E52=2,'Ответы учащихся'!AE52=0.5),AND($E52=3,'Ответы учащихся'!AE52=0.5),AND($E52=4,'Ответы учащихся'!AE52=0.5)),1,IF('Ответы учащихся'!AE52="N",'Ответы учащихся'!AE52,0)),"")</f>
        <v>1</v>
      </c>
      <c r="AW52" s="436">
        <f>IF($A52=1,IF(OR(AND($E52=1,'Ответы учащихся'!AF52=0.5),AND($E52=2,'Ответы учащихся'!AF52=0.5),AND($E52=3,'Ответы учащихся'!AF52=0.5),AND($E52=4,'Ответы учащихся'!AF52=0.5)),1,IF('Ответы учащихся'!AF52="N",'Ответы учащихся'!AF52,0)),"")</f>
        <v>1</v>
      </c>
      <c r="AX52" s="436">
        <f>IF($A52=1,IF(OR(AND($E52=1,'Ответы учащихся'!AG52=0.5),AND($E52=2,'Ответы учащихся'!AG52=0.5),AND($E52=3,'Ответы учащихся'!AG52=0.5),AND($E52=4,'Ответы учащихся'!AG52=0.5)),1,IF('Ответы учащихся'!AG52="N",'Ответы учащихся'!AG52,0)),"")</f>
        <v>1</v>
      </c>
      <c r="AY52" s="436">
        <f>IF($A52=1,IF(OR(AND($E52=1,'Ответы учащихся'!AH52=0.5),AND($E52=2,'Ответы учащихся'!AH52=0.5),AND($E52=3,'Ответы учащихся'!AH52=0.5),AND($E52=4,'Ответы учащихся'!AH52=0.5)),1,IF('Ответы учащихся'!AH52="N",'Ответы учащихся'!AH52,0)),"")</f>
        <v>1</v>
      </c>
      <c r="AZ52" s="436">
        <f>IF($A52=1,IF(OR(AND($E52=1,'Ответы учащихся'!AI52=0.5),AND($E52=2,'Ответы учащихся'!AI52=0.5),AND($E52=3,'Ответы учащихся'!AI52=0.5),AND($E52=4,'Ответы учащихся'!AI52=0.5)),1,IF('Ответы учащихся'!AI52="N",'Ответы учащихся'!AI52,0)),"")</f>
        <v>1</v>
      </c>
      <c r="BA52" s="429"/>
      <c r="BB52" s="429"/>
      <c r="BC52" s="429"/>
      <c r="BD52" s="429"/>
      <c r="BE52" s="419"/>
      <c r="BF52" s="419"/>
      <c r="BG52" s="6"/>
      <c r="BH52" s="6"/>
      <c r="BI52" s="6"/>
      <c r="BJ52" s="6"/>
    </row>
    <row r="53" spans="1:90" ht="12.75" customHeight="1" x14ac:dyDescent="0.2">
      <c r="A53" s="12">
        <f>IF('СПИСОК КЛАССА'!J53&gt;0,1,0)</f>
        <v>1</v>
      </c>
      <c r="B53" s="100">
        <v>34</v>
      </c>
      <c r="C53" s="101">
        <f>IF(NOT(ISBLANK('СПИСОК КЛАССА'!C53)),'СПИСОК КЛАССА'!C53,"")</f>
        <v>34</v>
      </c>
      <c r="D53" s="134" t="str">
        <f>IF(NOT(ISBLANK('СПИСОК КЛАССА'!D53)),IF($A53=1,'СПИСОК КЛАССА'!D53, "УЧЕНИК НЕ ВЫПОЛНЯЛ РАБОТУ"),"")</f>
        <v/>
      </c>
      <c r="E53" s="460">
        <f>IF($C53&lt;&gt;"",'СПИСОК КЛАССА'!J53,"")</f>
        <v>1</v>
      </c>
      <c r="F53" s="133">
        <f>IF(AND(OR($C53&lt;&gt;"",$D53&lt;&gt;""),$A53=1,$AI$2="ДА"),'Ответы учащихся'!E53,"")</f>
        <v>1</v>
      </c>
      <c r="G53" s="102">
        <f>IF(AND(OR($C53&lt;&gt;"",$D53&lt;&gt;""),$A53=1,$AI$2="ДА"),(IF($A53=1,IF(OR(AND($E53=1,'Ответы учащихся'!F53=2),AND($E53=2,'Ответы учащихся'!F53=4),AND($E53=3,OR('Ответы учащихся'!F53=3,'Ответы учащихся'!F53=4)),AND($E53=4,'Ответы учащихся'!F53=1)),1,IF('Ответы учащихся'!F53="N",'Ответы учащихся'!F53,0)),"")),"")</f>
        <v>1</v>
      </c>
      <c r="H53" s="102">
        <f>IF(AND(OR($C53&lt;&gt;"",$D53&lt;&gt;""),$A53=1,$AI$2="ДА"),(IF($A53=1,IF(OR(AND($E53=1,'Ответы учащихся'!G53=1),AND($E53=2,'Ответы учащихся'!G53=3),AND($E53=3,'Ответы учащихся'!G53=3),AND($E53=4,'Ответы учащихся'!G53=3)),1,IF('Ответы учащихся'!G53="N",'Ответы учащихся'!G53,0)),"")),"")</f>
        <v>1</v>
      </c>
      <c r="I53" s="102">
        <f>IF(AND(OR($C53&lt;&gt;"",$D53&lt;&gt;""),$A53=1,$AI$2="ДА"),(IF($A53=1,IF(OR(AND($E53=1,'Ответы учащихся'!H53=-6),AND($E53=2,'Ответы учащихся'!H53=3),AND($E53=3,'Ответы учащихся'!H53=-8),AND($E53=4,'Ответы учащихся'!H53=-6)),1,IF('Ответы учащихся'!H53="N",'Ответы учащихся'!H53,0)),"")),"")</f>
        <v>1</v>
      </c>
      <c r="J53" s="102">
        <f>IF(AND(OR($C53&lt;&gt;"",$D53&lt;&gt;""),$A53=1,$AI$2="ДА"),(IF($A53=1,IF(OR(AND($E53=1,'Ответы учащихся'!I53=3412),AND($E53=2,'Ответы учащихся'!I53=2314),AND($E53=3,'Ответы учащихся'!I53=3142),AND($E53=4,'Ответы учащихся'!I53=1234)),1,IF('Ответы учащихся'!I53="N",'Ответы учащихся'!I53,0)),"")),"")</f>
        <v>1</v>
      </c>
      <c r="K53" s="102">
        <f>IF(AND(OR($C53&lt;&gt;"",$D53&lt;&gt;""),$A53=1,$AI$2="ДА"),(IF($A53=1,IF(OR(AND($E53=1,'Ответы учащихся'!J53=390),AND($E53=2,'Ответы учащихся'!J53=273),AND($E53=3,'Ответы учащихся'!J53=205),AND($E53=4,'Ответы учащихся'!J53=240)),1,IF('Ответы учащихся'!J53="N",'Ответы учащихся'!J53,0)),"")),"")</f>
        <v>0</v>
      </c>
      <c r="L53" s="102">
        <f>IF(AND(OR($C53&lt;&gt;"",$D53&lt;&gt;""),$A53=1,$AI$2="ДА"),(IF($A53=1,IF(OR(AND($E53=1,'Ответы учащихся'!K53=1),AND($E53=2,'Ответы учащихся'!K53=2),AND($E53=3,'Ответы учащихся'!K53=4),AND($E53=4,'Ответы учащихся'!K53=3)),1,IF('Ответы учащихся'!K53="N",'Ответы учащихся'!K53,0)),"")),"")</f>
        <v>0</v>
      </c>
      <c r="M53" s="102">
        <f>IF(AND(OR($C53&lt;&gt;"",$D53&lt;&gt;""),$A53=1,$AI$2="ДА"),(IF($A53=1,IF(OR(AND($E53=1,'Ответы учащихся'!L53=3),AND($E53=2,'Ответы учащихся'!L53=1),AND($E53=3,'Ответы учащихся'!L53=4),AND($E53=4,'Ответы учащихся'!L53=2)),1,IF('Ответы учащихся'!L53="N",'Ответы учащихся'!L53,0)),"")),"")</f>
        <v>1</v>
      </c>
      <c r="N53" s="102">
        <f>IF(AND(OR($C53&lt;&gt;"",$D53&lt;&gt;""),$A53=1,$AI$2="ДА"),'Ответы учащихся'!M53,"")</f>
        <v>0</v>
      </c>
      <c r="O53" s="102">
        <f>IF(AND(OR($C53&lt;&gt;"",$D53&lt;&gt;""),$A53=1,$AI$2="ДА"),(IF($A53=1,IF(OR(AND($E53=1,'Ответы учащихся'!N53=3),AND($E53=2,'Ответы учащихся'!N53=2),AND($E53=3,'Ответы учащихся'!N53=4),AND($E53=4,'Ответы учащихся'!N53=1)),1,IF('Ответы учащихся'!N53="N",'Ответы учащихся'!N53,0)),"")),"")</f>
        <v>0</v>
      </c>
      <c r="P53" s="102">
        <f>IF(AND(OR($C53&lt;&gt;"",$D53&lt;&gt;""),$A53=1,$AI$2="ДА"),(IF($A53=1,IF(OR(AND($E53=1,'Ответы учащихся'!O53="БВ"),AND($E53=2,'Ответы учащихся'!O53="АВГ"),AND($E53=3,'Ответы учащихся'!O53="БВГ"),AND($E53=4,'Ответы учащихся'!O53="АВ")),1,IF('Ответы учащихся'!O53="N",'Ответы учащихся'!O53,0)),"")),"")</f>
        <v>0</v>
      </c>
      <c r="Q53" s="102">
        <f>IF(AND(OR($C53&lt;&gt;"",$D53&lt;&gt;""),$A53=1,$AI$2="ДА"),(IF($A53=1,IF(OR(AND($E53=1,'Ответы учащихся'!P53=2351),AND($E53=2,'Ответы учащихся'!P53=4132),AND($E53=3,'Ответы учащихся'!P53=3412),AND($E53=4,'Ответы учащихся'!P53=3125)),1,IF('Ответы учащихся'!P53="N",'Ответы учащихся'!P53,0)),"")),"")</f>
        <v>1</v>
      </c>
      <c r="R53" s="102">
        <f>IF(AND(OR($C53&lt;&gt;"",$D53&lt;&gt;""),$A53=1,$AI$2="ДА"),(IF($A53=1,IF(OR(AND($E53=1,'Ответы учащихся'!Q53=2),AND($E53=2,'Ответы учащихся'!Q53=9),AND($E53=3,'Ответы учащихся'!Q53=5),AND($E53=4,'Ответы учащихся'!Q53=2)),1,IF('Ответы учащихся'!Q53="N",'Ответы учащихся'!Q53,0)),"")),"")</f>
        <v>1</v>
      </c>
      <c r="S53" s="102">
        <f>IF(AND(OR($C53&lt;&gt;"",$D53&lt;&gt;""),$A53=1,$AI$2="ДА"),(IF($A53=1,IF(OR(AND($E53=1,'Ответы учащихся'!R53=35),AND($E53=2,'Ответы учащихся'!R53=74),AND($E53=3,'Ответы учащихся'!R53=72),AND($E53=4,'Ответы учащихся'!R53=66)),1,IF('Ответы учащихся'!R53="N",'Ответы учащихся'!R53,0)),"")),"")</f>
        <v>1</v>
      </c>
      <c r="T53" s="102">
        <f>IF(AND(OR($C53&lt;&gt;"",$D53&lt;&gt;""),$A53=1,$AI$2="ДА"),(IF($A53=1,IF(OR(AND($E53=1,'Ответы учащихся'!S53=60),AND($E53=2,'Ответы учащихся'!S53=40),AND($E53=3,'Ответы учащихся'!S53=30),AND($E53=4,'Ответы учащихся'!S53=18)),1,IF('Ответы учащихся'!S53="N",'Ответы учащихся'!S53,0)),"")),"")</f>
        <v>0</v>
      </c>
      <c r="U53" s="102" t="str">
        <f>IF(AND(OR($C53&lt;&gt;"",$D53&lt;&gt;""),$A53=1,$AI$2="ДА"),(IF($A53=1,IF(OR(AND($E53=1,'Ответы учащихся'!T53=3),AND($E53=2,'Ответы учащихся'!T53=4),AND($E53=3,'Ответы учащихся'!T53=2),AND($E53=4,'Ответы учащихся'!T53=3)),1,IF('Ответы учащихся'!T53="N",'Ответы учащихся'!T53,0)),"")),"")</f>
        <v>N</v>
      </c>
      <c r="V53" s="102" t="str">
        <f>IF(AND(OR($C53&lt;&gt;"",$D53&lt;&gt;""),$A53=1,$AI$2="ДА"),(IF($A53=1,IF(OR(AND($E53=1,'Ответы учащихся'!U53=11),AND($E53=2,'Ответы учащихся'!U53=14),AND($E53=3,'Ответы учащихся'!U53=-2),AND($E53=4,'Ответы учащихся'!U53=25)),1,IF('Ответы учащихся'!U53="N",'Ответы учащихся'!U53,0)),"")),"")</f>
        <v>N</v>
      </c>
      <c r="W53" s="102" t="str">
        <f>IF(AND(OR($C53&lt;&gt;"",$D53&lt;&gt;""),$A53=1,$AI$2="ДА"),(IF($A53=1,IF(OR(AND($E53=1,'Ответы учащихся'!V53=3000),AND($E53=2,'Ответы учащихся'!V53=2500),AND($E53=3,'Ответы учащихся'!V53=1500),AND($E53=4,'Ответы учащихся'!V53=1500)),1,IF('Ответы учащихся'!V53="N",'Ответы учащихся'!V53,0)),"")),"")</f>
        <v>N</v>
      </c>
      <c r="X53" s="102"/>
      <c r="Y53" s="102" t="str">
        <f>IF(AND(OR($C53&lt;&gt;"",$D53&lt;&gt;""),$A53=1,$AI$2="ДА"),(IF($A53=1,IF(AND('Ответы учащихся'!$W53&lt;&gt;"N",'Ответы учащихся'!$X53&lt;&gt;"N",'Ответы учащихся'!$Y53&lt;&gt;"N",'Ответы учащихся'!$Z53&lt;&gt;"N",'Ответы учащихся'!$AA53&lt;&gt;"N"),(SUM('Ответы учащихся'!$W53:$AA53)),"N"),"")),"")</f>
        <v>N</v>
      </c>
      <c r="Z53" s="102"/>
      <c r="AA53" s="102" t="str">
        <f>IF(AND(OR($C53&lt;&gt;"",$D53&lt;&gt;""),$A53=1,$AI$2="ДА"),(IF($A53=1,IF(AND('Ответы учащихся'!$AB53&lt;&gt;"N",'Ответы учащихся'!$AC53&lt;&gt;"N",'Ответы учащихся'!$AD53&lt;&gt;"N",'Ответы учащихся'!$AE53&lt;&gt;"N"),(SUM('Ответы учащихся'!$AB53:$AE53)),"N"),"")),"")</f>
        <v>N</v>
      </c>
      <c r="AB53" s="289" t="str">
        <f>IF(AND(OR($C53&lt;&gt;"",$D53&lt;&gt;""),$A53=1,$AI$2="ДА"),(IF($A53=1,IF(AND('Ответы учащихся'!$AF53&lt;&gt;"N",'Ответы учащихся'!$AG53&lt;&gt;"N",'Ответы учащихся'!$AH53&lt;&gt;"N",'Ответы учащихся'!$AI53&lt;&gt;"N"),(SUM('Ответы учащихся'!$AF53:$AI53)),"N"),"")),"")</f>
        <v>N</v>
      </c>
      <c r="AC53" s="468">
        <f t="shared" si="6"/>
        <v>9</v>
      </c>
      <c r="AD53" s="326">
        <f t="shared" si="7"/>
        <v>0.375</v>
      </c>
      <c r="AE53" s="327">
        <f t="shared" si="8"/>
        <v>9</v>
      </c>
      <c r="AF53" s="328">
        <f t="shared" si="9"/>
        <v>50</v>
      </c>
      <c r="AG53" s="327">
        <f t="shared" si="10"/>
        <v>0</v>
      </c>
      <c r="AH53" s="329">
        <f t="shared" si="11"/>
        <v>0</v>
      </c>
      <c r="AI53" s="456" t="str">
        <f t="shared" si="12"/>
        <v>БАЗОВЫЙ</v>
      </c>
      <c r="AJ53" s="446">
        <f t="shared" si="13"/>
        <v>16.614705882352936</v>
      </c>
      <c r="AK53" s="447">
        <f t="shared" si="14"/>
        <v>0.69227941176470575</v>
      </c>
      <c r="AL53" s="445">
        <v>9</v>
      </c>
      <c r="AM53" s="446">
        <f t="shared" si="15"/>
        <v>77.287581699346404</v>
      </c>
      <c r="AN53" s="442" t="str">
        <f>IF($A53=1,IF(OR(AND($E53=1,'Ответы учащихся'!W53=0.4),AND($E53=2,'Ответы учащихся'!W53=0.4),AND($E53=3,'Ответы учащихся'!W53=0.4),AND($E53=4,'Ответы учащихся'!W53=0.4)),1,IF('Ответы учащихся'!W53="N",'Ответы учащихся'!W53,0)),"")</f>
        <v>N</v>
      </c>
      <c r="AO53" s="434" t="str">
        <f>IF($A53=1,IF(OR(AND($E53=1,'Ответы учащихся'!X53=0.4),AND($E53=2,'Ответы учащихся'!X53=0.4),AND($E53=3,'Ответы учащихся'!X53=0.4),AND($E53=4,'Ответы учащихся'!X53=0.4)),1,IF('Ответы учащихся'!X53="N",'Ответы учащихся'!X53,0)),"")</f>
        <v>N</v>
      </c>
      <c r="AP53" s="434" t="str">
        <f>IF($A53=1,IF(OR(AND($E53=1,'Ответы учащихся'!Y53=0.4),AND($E53=2,'Ответы учащихся'!Y53=0.4),AND($E53=3,'Ответы учащихся'!Y53=0.4),AND($E53=4,'Ответы учащихся'!Y53=0.4)),1,IF('Ответы учащихся'!Y53="N",'Ответы учащихся'!Y53,0)),"")</f>
        <v>N</v>
      </c>
      <c r="AQ53" s="434" t="str">
        <f>IF($A53=1,IF(OR(AND($E53=1,'Ответы учащихся'!Z53=0.4),AND($E53=2,'Ответы учащихся'!Z53=0.4),AND($E53=3,'Ответы учащихся'!Z53=0.4),AND($E53=4,'Ответы учащихся'!Z53=0.4)),1,IF('Ответы учащихся'!Z53="N",'Ответы учащихся'!Z53,0)),"")</f>
        <v>N</v>
      </c>
      <c r="AR53" s="434" t="str">
        <f>IF($A53=1,IF(OR(AND($E53=1,'Ответы учащихся'!AA53=0.4),AND($E53=2,'Ответы учащихся'!AA53=0.4),AND($E53=3,'Ответы учащихся'!AA53=0.4),AND($E53=4,'Ответы учащихся'!AA53=0.4)),1,IF('Ответы учащихся'!AA53="N",'Ответы учащихся'!AA53,0)),"")</f>
        <v>N</v>
      </c>
      <c r="AS53" s="435" t="str">
        <f>IF($A53=1,IF(OR(AND($E53=1,'Ответы учащихся'!AB53=0.5),AND($E53=2,'Ответы учащихся'!AB53=0.5),AND($E53=3,'Ответы учащихся'!AB53=0.5),AND($E53=4,'Ответы учащихся'!AB53=0.5)),1,IF('Ответы учащихся'!AB53="N",'Ответы учащихся'!AB53,0)),"")</f>
        <v>N</v>
      </c>
      <c r="AT53" s="435" t="str">
        <f>IF($A53=1,IF(OR(AND($E53=1,'Ответы учащихся'!AC53=0.5),AND($E53=2,'Ответы учащихся'!AC53=0.5),AND($E53=3,'Ответы учащихся'!AC53=0.5),AND($E53=4,'Ответы учащихся'!AC53=0.5)),1,IF('Ответы учащихся'!AC53="N",'Ответы учащихся'!AC53,0)),"")</f>
        <v>N</v>
      </c>
      <c r="AU53" s="435" t="str">
        <f>IF($A53=1,IF(OR(AND($E53=1,'Ответы учащихся'!AD53=0.5),AND($E53=2,'Ответы учащихся'!AD53=0.5),AND($E53=3,'Ответы учащихся'!AD53=0.5),AND($E53=4,'Ответы учащихся'!AD53=0.5)),1,IF('Ответы учащихся'!AD53="N",'Ответы учащихся'!AD53,0)),"")</f>
        <v>N</v>
      </c>
      <c r="AV53" s="435" t="str">
        <f>IF($A53=1,IF(OR(AND($E53=1,'Ответы учащихся'!AE53=0.5),AND($E53=2,'Ответы учащихся'!AE53=0.5),AND($E53=3,'Ответы учащихся'!AE53=0.5),AND($E53=4,'Ответы учащихся'!AE53=0.5)),1,IF('Ответы учащихся'!AE53="N",'Ответы учащихся'!AE53,0)),"")</f>
        <v>N</v>
      </c>
      <c r="AW53" s="436" t="str">
        <f>IF($A53=1,IF(OR(AND($E53=1,'Ответы учащихся'!AF53=0.5),AND($E53=2,'Ответы учащихся'!AF53=0.5),AND($E53=3,'Ответы учащихся'!AF53=0.5),AND($E53=4,'Ответы учащихся'!AF53=0.5)),1,IF('Ответы учащихся'!AF53="N",'Ответы учащихся'!AF53,0)),"")</f>
        <v>N</v>
      </c>
      <c r="AX53" s="436" t="str">
        <f>IF($A53=1,IF(OR(AND($E53=1,'Ответы учащихся'!AG53=0.5),AND($E53=2,'Ответы учащихся'!AG53=0.5),AND($E53=3,'Ответы учащихся'!AG53=0.5),AND($E53=4,'Ответы учащихся'!AG53=0.5)),1,IF('Ответы учащихся'!AG53="N",'Ответы учащихся'!AG53,0)),"")</f>
        <v>N</v>
      </c>
      <c r="AY53" s="436" t="str">
        <f>IF($A53=1,IF(OR(AND($E53=1,'Ответы учащихся'!AH53=0.5),AND($E53=2,'Ответы учащихся'!AH53=0.5),AND($E53=3,'Ответы учащихся'!AH53=0.5),AND($E53=4,'Ответы учащихся'!AH53=0.5)),1,IF('Ответы учащихся'!AH53="N",'Ответы учащихся'!AH53,0)),"")</f>
        <v>N</v>
      </c>
      <c r="AZ53" s="436" t="str">
        <f>IF($A53=1,IF(OR(AND($E53=1,'Ответы учащихся'!AI53=0.5),AND($E53=2,'Ответы учащихся'!AI53=0.5),AND($E53=3,'Ответы учащихся'!AI53=0.5),AND($E53=4,'Ответы учащихся'!AI53=0.5)),1,IF('Ответы учащихся'!AI53="N",'Ответы учащихся'!AI53,0)),"")</f>
        <v>N</v>
      </c>
      <c r="BA53" s="429"/>
      <c r="BB53" s="429"/>
      <c r="BC53" s="429"/>
      <c r="BD53" s="429"/>
      <c r="BE53" s="419"/>
      <c r="BF53" s="419"/>
      <c r="BG53" s="6"/>
      <c r="BH53" s="6"/>
      <c r="BI53" s="6"/>
      <c r="BJ53" s="6"/>
    </row>
    <row r="54" spans="1:90" ht="12.75" customHeight="1" x14ac:dyDescent="0.2">
      <c r="A54" s="12">
        <f>IF('СПИСОК КЛАССА'!J54&gt;0,1,0)</f>
        <v>0</v>
      </c>
      <c r="B54" s="100">
        <v>35</v>
      </c>
      <c r="C54" s="101" t="str">
        <f>IF(NOT(ISBLANK('СПИСОК КЛАССА'!C54)),'СПИСОК КЛАССА'!C54,"")</f>
        <v/>
      </c>
      <c r="D54" s="134" t="str">
        <f>IF(NOT(ISBLANK('СПИСОК КЛАССА'!D54)),IF($A54=1,'СПИСОК КЛАССА'!D54, "УЧЕНИК НЕ ВЫПОЛНЯЛ РАБОТУ"),"")</f>
        <v/>
      </c>
      <c r="E54" s="460" t="str">
        <f>IF($C54&lt;&gt;"",'СПИСОК КЛАССА'!J54,"")</f>
        <v/>
      </c>
      <c r="F54" s="133" t="str">
        <f>IF(AND(OR($C54&lt;&gt;"",$D54&lt;&gt;""),$A54=1,$AI$2="ДА"),'Ответы учащихся'!E54,"")</f>
        <v/>
      </c>
      <c r="G54" s="102" t="str">
        <f>IF(AND(OR($C54&lt;&gt;"",$D54&lt;&gt;""),$A54=1,$AI$2="ДА"),(IF($A54=1,IF(OR(AND($E54=1,'Ответы учащихся'!F54=2),AND($E54=2,'Ответы учащихся'!F54=4),AND($E54=3,OR('Ответы учащихся'!F54=3,'Ответы учащихся'!F54=4)),AND($E54=4,'Ответы учащихся'!F54=1)),1,IF('Ответы учащихся'!F54="N",'Ответы учащихся'!F54,0)),"")),"")</f>
        <v/>
      </c>
      <c r="H54" s="102" t="str">
        <f>IF(AND(OR($C54&lt;&gt;"",$D54&lt;&gt;""),$A54=1,$AI$2="ДА"),(IF($A54=1,IF(OR(AND($E54=1,'Ответы учащихся'!G54=1),AND($E54=2,'Ответы учащихся'!G54=3),AND($E54=3,'Ответы учащихся'!G54=3),AND($E54=4,'Ответы учащихся'!G54=3)),1,IF('Ответы учащихся'!G54="N",'Ответы учащихся'!G54,0)),"")),"")</f>
        <v/>
      </c>
      <c r="I54" s="102" t="str">
        <f>IF(AND(OR($C54&lt;&gt;"",$D54&lt;&gt;""),$A54=1,$AI$2="ДА"),(IF($A54=1,IF(OR(AND($E54=1,'Ответы учащихся'!H54=-6),AND($E54=2,'Ответы учащихся'!H54=3),AND($E54=3,'Ответы учащихся'!H54=-8),AND($E54=4,'Ответы учащихся'!H54=-6)),1,IF('Ответы учащихся'!H54="N",'Ответы учащихся'!H54,0)),"")),"")</f>
        <v/>
      </c>
      <c r="J54" s="102" t="str">
        <f>IF(AND(OR($C54&lt;&gt;"",$D54&lt;&gt;""),$A54=1,$AI$2="ДА"),(IF($A54=1,IF(OR(AND($E54=1,'Ответы учащихся'!I54=3412),AND($E54=2,'Ответы учащихся'!I54=2314),AND($E54=3,'Ответы учащихся'!I54=3142),AND($E54=4,'Ответы учащихся'!I54=1234)),1,IF('Ответы учащихся'!I54="N",'Ответы учащихся'!I54,0)),"")),"")</f>
        <v/>
      </c>
      <c r="K54" s="102" t="str">
        <f>IF(AND(OR($C54&lt;&gt;"",$D54&lt;&gt;""),$A54=1,$AI$2="ДА"),(IF($A54=1,IF(OR(AND($E54=1,'Ответы учащихся'!J54=390),AND($E54=2,'Ответы учащихся'!J54=273),AND($E54=3,'Ответы учащихся'!J54=205),AND($E54=4,'Ответы учащихся'!J54=240)),1,IF('Ответы учащихся'!J54="N",'Ответы учащихся'!J54,0)),"")),"")</f>
        <v/>
      </c>
      <c r="L54" s="102" t="str">
        <f>IF(AND(OR($C54&lt;&gt;"",$D54&lt;&gt;""),$A54=1,$AI$2="ДА"),(IF($A54=1,IF(OR(AND($E54=1,'Ответы учащихся'!K54=1),AND($E54=2,'Ответы учащихся'!K54=2),AND($E54=3,'Ответы учащихся'!K54=4),AND($E54=4,'Ответы учащихся'!K54=3)),1,IF('Ответы учащихся'!K54="N",'Ответы учащихся'!K54,0)),"")),"")</f>
        <v/>
      </c>
      <c r="M54" s="102" t="str">
        <f>IF(AND(OR($C54&lt;&gt;"",$D54&lt;&gt;""),$A54=1,$AI$2="ДА"),(IF($A54=1,IF(OR(AND($E54=1,'Ответы учащихся'!L54=3),AND($E54=2,'Ответы учащихся'!L54=1),AND($E54=3,'Ответы учащихся'!L54=4),AND($E54=4,'Ответы учащихся'!L54=2)),1,IF('Ответы учащихся'!L54="N",'Ответы учащихся'!L54,0)),"")),"")</f>
        <v/>
      </c>
      <c r="N54" s="102" t="str">
        <f>IF(AND(OR($C54&lt;&gt;"",$D54&lt;&gt;""),$A54=1,$AI$2="ДА"),'Ответы учащихся'!M54,"")</f>
        <v/>
      </c>
      <c r="O54" s="102" t="str">
        <f>IF(AND(OR($C54&lt;&gt;"",$D54&lt;&gt;""),$A54=1,$AI$2="ДА"),(IF($A54=1,IF(OR(AND($E54=1,'Ответы учащихся'!N54=3),AND($E54=2,'Ответы учащихся'!N54=2),AND($E54=3,'Ответы учащихся'!N54=4),AND($E54=4,'Ответы учащихся'!N54=1)),1,IF('Ответы учащихся'!N54="N",'Ответы учащихся'!N54,0)),"")),"")</f>
        <v/>
      </c>
      <c r="P54" s="102" t="str">
        <f>IF(AND(OR($C54&lt;&gt;"",$D54&lt;&gt;""),$A54=1,$AI$2="ДА"),(IF($A54=1,IF(OR(AND($E54=1,'Ответы учащихся'!O54="БВ"),AND($E54=2,'Ответы учащихся'!O54="АВГ"),AND($E54=3,'Ответы учащихся'!O54="БВГ"),AND($E54=4,'Ответы учащихся'!O54="АВ")),1,IF('Ответы учащихся'!O54="N",'Ответы учащихся'!O54,0)),"")),"")</f>
        <v/>
      </c>
      <c r="Q54" s="102" t="str">
        <f>IF(AND(OR($C54&lt;&gt;"",$D54&lt;&gt;""),$A54=1,$AI$2="ДА"),(IF($A54=1,IF(OR(AND($E54=1,'Ответы учащихся'!P54=2351),AND($E54=2,'Ответы учащихся'!P54=4132),AND($E54=3,'Ответы учащихся'!P54=3412),AND($E54=4,'Ответы учащихся'!P54=3125)),1,IF('Ответы учащихся'!P54="N",'Ответы учащихся'!P54,0)),"")),"")</f>
        <v/>
      </c>
      <c r="R54" s="102" t="str">
        <f>IF(AND(OR($C54&lt;&gt;"",$D54&lt;&gt;""),$A54=1,$AI$2="ДА"),(IF($A54=1,IF(OR(AND($E54=1,'Ответы учащихся'!Q54=2),AND($E54=2,'Ответы учащихся'!Q54=9),AND($E54=3,'Ответы учащихся'!Q54=5),AND($E54=4,'Ответы учащихся'!Q54=2)),1,IF('Ответы учащихся'!Q54="N",'Ответы учащихся'!Q54,0)),"")),"")</f>
        <v/>
      </c>
      <c r="S54" s="102" t="str">
        <f>IF(AND(OR($C54&lt;&gt;"",$D54&lt;&gt;""),$A54=1,$AI$2="ДА"),(IF($A54=1,IF(OR(AND($E54=1,'Ответы учащихся'!R54=35),AND($E54=2,'Ответы учащихся'!R54=74),AND($E54=3,'Ответы учащихся'!R54=72),AND($E54=4,'Ответы учащихся'!R54=66)),1,IF('Ответы учащихся'!R54="N",'Ответы учащихся'!R54,0)),"")),"")</f>
        <v/>
      </c>
      <c r="T54" s="102" t="str">
        <f>IF(AND(OR($C54&lt;&gt;"",$D54&lt;&gt;""),$A54=1,$AI$2="ДА"),(IF($A54=1,IF(OR(AND($E54=1,'Ответы учащихся'!S54=60),AND($E54=2,'Ответы учащихся'!S54=40),AND($E54=3,'Ответы учащихся'!S54=30),AND($E54=4,'Ответы учащихся'!S54=18)),1,IF('Ответы учащихся'!S54="N",'Ответы учащихся'!S54,0)),"")),"")</f>
        <v/>
      </c>
      <c r="U54" s="102" t="str">
        <f>IF(AND(OR($C54&lt;&gt;"",$D54&lt;&gt;""),$A54=1,$AI$2="ДА"),(IF($A54=1,IF(OR(AND($E54=1,'Ответы учащихся'!T54=3),AND($E54=2,'Ответы учащихся'!T54=4),AND($E54=3,'Ответы учащихся'!T54=2),AND($E54=4,'Ответы учащихся'!T54=3)),1,IF('Ответы учащихся'!T54="N",'Ответы учащихся'!T54,0)),"")),"")</f>
        <v/>
      </c>
      <c r="V54" s="102" t="str">
        <f>IF(AND(OR($C54&lt;&gt;"",$D54&lt;&gt;""),$A54=1,$AI$2="ДА"),(IF($A54=1,IF(OR(AND($E54=1,'Ответы учащихся'!U54=11),AND($E54=2,'Ответы учащихся'!U54=14),AND($E54=3,'Ответы учащихся'!U54=-2),AND($E54=4,'Ответы учащихся'!U54=25)),1,IF('Ответы учащихся'!U54="N",'Ответы учащихся'!U54,0)),"")),"")</f>
        <v/>
      </c>
      <c r="W54" s="102" t="str">
        <f>IF(AND(OR($C54&lt;&gt;"",$D54&lt;&gt;""),$A54=1,$AI$2="ДА"),(IF($A54=1,IF(OR(AND($E54=1,'Ответы учащихся'!V54=3000),AND($E54=2,'Ответы учащихся'!V54=2500),AND($E54=3,'Ответы учащихся'!V54=1500),AND($E54=4,'Ответы учащихся'!V54=1500)),1,IF('Ответы учащихся'!V54="N",'Ответы учащихся'!V54,0)),"")),"")</f>
        <v/>
      </c>
      <c r="X54" s="102"/>
      <c r="Y54" s="102" t="str">
        <f>IF(AND(OR($C54&lt;&gt;"",$D54&lt;&gt;""),$A54=1,$AI$2="ДА"),(IF($A54=1,IF(AND('Ответы учащихся'!$W54&lt;&gt;"N",'Ответы учащихся'!$X54&lt;&gt;"N",'Ответы учащихся'!$Y54&lt;&gt;"N",'Ответы учащихся'!$Z54&lt;&gt;"N",'Ответы учащихся'!$AA54&lt;&gt;"N"),(SUM('Ответы учащихся'!$W54:$AA54)),"N"),"")),"")</f>
        <v/>
      </c>
      <c r="Z54" s="102"/>
      <c r="AA54" s="102" t="str">
        <f>IF(AND(OR($C54&lt;&gt;"",$D54&lt;&gt;""),$A54=1,$AI$2="ДА"),(IF($A54=1,IF(AND('Ответы учащихся'!$AB54&lt;&gt;"N",'Ответы учащихся'!$AC54&lt;&gt;"N",'Ответы учащихся'!$AD54&lt;&gt;"N",'Ответы учащихся'!$AE54&lt;&gt;"N"),(SUM('Ответы учащихся'!$AB54:$AE54)),"N"),"")),"")</f>
        <v/>
      </c>
      <c r="AB54" s="289" t="str">
        <f>IF(AND(OR($C54&lt;&gt;"",$D54&lt;&gt;""),$A54=1,$AI$2="ДА"),(IF($A54=1,IF(AND('Ответы учащихся'!$AF54&lt;&gt;"N",'Ответы учащихся'!$AG54&lt;&gt;"N",'Ответы учащихся'!$AH54&lt;&gt;"N",'Ответы учащихся'!$AI54&lt;&gt;"N"),(SUM('Ответы учащихся'!$AF54:$AI54)),"N"),"")),"")</f>
        <v/>
      </c>
      <c r="AC54" s="468" t="str">
        <f t="shared" si="6"/>
        <v/>
      </c>
      <c r="AD54" s="326" t="str">
        <f t="shared" si="7"/>
        <v/>
      </c>
      <c r="AE54" s="327" t="str">
        <f t="shared" si="8"/>
        <v/>
      </c>
      <c r="AF54" s="328" t="str">
        <f t="shared" si="9"/>
        <v/>
      </c>
      <c r="AG54" s="327" t="str">
        <f t="shared" si="10"/>
        <v/>
      </c>
      <c r="AH54" s="329" t="str">
        <f t="shared" si="11"/>
        <v/>
      </c>
      <c r="AI54" s="456" t="str">
        <f t="shared" si="12"/>
        <v/>
      </c>
      <c r="AJ54" s="446">
        <f t="shared" si="13"/>
        <v>16.614705882352936</v>
      </c>
      <c r="AK54" s="447">
        <f t="shared" si="14"/>
        <v>0.69227941176470575</v>
      </c>
      <c r="AL54" s="445">
        <v>9</v>
      </c>
      <c r="AM54" s="446">
        <f t="shared" si="15"/>
        <v>77.287581699346404</v>
      </c>
      <c r="AN54" s="442" t="str">
        <f>IF($A54=1,IF(OR(AND($E54=1,'Ответы учащихся'!W54=0.4),AND($E54=2,'Ответы учащихся'!W54=0.4),AND($E54=3,'Ответы учащихся'!W54=0.4),AND($E54=4,'Ответы учащихся'!W54=0.4)),1,IF('Ответы учащихся'!W54="N",'Ответы учащихся'!W54,0)),"")</f>
        <v/>
      </c>
      <c r="AO54" s="434" t="str">
        <f>IF($A54=1,IF(OR(AND($E54=1,'Ответы учащихся'!X54=0.4),AND($E54=2,'Ответы учащихся'!X54=0.4),AND($E54=3,'Ответы учащихся'!X54=0.4),AND($E54=4,'Ответы учащихся'!X54=0.4)),1,IF('Ответы учащихся'!X54="N",'Ответы учащихся'!X54,0)),"")</f>
        <v/>
      </c>
      <c r="AP54" s="434" t="str">
        <f>IF($A54=1,IF(OR(AND($E54=1,'Ответы учащихся'!Y54=0.4),AND($E54=2,'Ответы учащихся'!Y54=0.4),AND($E54=3,'Ответы учащихся'!Y54=0.4),AND($E54=4,'Ответы учащихся'!Y54=0.4)),1,IF('Ответы учащихся'!Y54="N",'Ответы учащихся'!Y54,0)),"")</f>
        <v/>
      </c>
      <c r="AQ54" s="434" t="str">
        <f>IF($A54=1,IF(OR(AND($E54=1,'Ответы учащихся'!Z54=0.4),AND($E54=2,'Ответы учащихся'!Z54=0.4),AND($E54=3,'Ответы учащихся'!Z54=0.4),AND($E54=4,'Ответы учащихся'!Z54=0.4)),1,IF('Ответы учащихся'!Z54="N",'Ответы учащихся'!Z54,0)),"")</f>
        <v/>
      </c>
      <c r="AR54" s="434" t="str">
        <f>IF($A54=1,IF(OR(AND($E54=1,'Ответы учащихся'!AA54=0.4),AND($E54=2,'Ответы учащихся'!AA54=0.4),AND($E54=3,'Ответы учащихся'!AA54=0.4),AND($E54=4,'Ответы учащихся'!AA54=0.4)),1,IF('Ответы учащихся'!AA54="N",'Ответы учащихся'!AA54,0)),"")</f>
        <v/>
      </c>
      <c r="AS54" s="435" t="str">
        <f>IF($A54=1,IF(OR(AND($E54=1,'Ответы учащихся'!AB54=0.5),AND($E54=2,'Ответы учащихся'!AB54=0.5),AND($E54=3,'Ответы учащихся'!AB54=0.5),AND($E54=4,'Ответы учащихся'!AB54=0.5)),1,IF('Ответы учащихся'!AB54="N",'Ответы учащихся'!AB54,0)),"")</f>
        <v/>
      </c>
      <c r="AT54" s="435" t="str">
        <f>IF($A54=1,IF(OR(AND($E54=1,'Ответы учащихся'!AC54=0.5),AND($E54=2,'Ответы учащихся'!AC54=0.5),AND($E54=3,'Ответы учащихся'!AC54=0.5),AND($E54=4,'Ответы учащихся'!AC54=0.5)),1,IF('Ответы учащихся'!AC54="N",'Ответы учащихся'!AC54,0)),"")</f>
        <v/>
      </c>
      <c r="AU54" s="435" t="str">
        <f>IF($A54=1,IF(OR(AND($E54=1,'Ответы учащихся'!AD54=0.5),AND($E54=2,'Ответы учащихся'!AD54=0.5),AND($E54=3,'Ответы учащихся'!AD54=0.5),AND($E54=4,'Ответы учащихся'!AD54=0.5)),1,IF('Ответы учащихся'!AD54="N",'Ответы учащихся'!AD54,0)),"")</f>
        <v/>
      </c>
      <c r="AV54" s="435" t="str">
        <f>IF($A54=1,IF(OR(AND($E54=1,'Ответы учащихся'!AE54=0.5),AND($E54=2,'Ответы учащихся'!AE54=0.5),AND($E54=3,'Ответы учащихся'!AE54=0.5),AND($E54=4,'Ответы учащихся'!AE54=0.5)),1,IF('Ответы учащихся'!AE54="N",'Ответы учащихся'!AE54,0)),"")</f>
        <v/>
      </c>
      <c r="AW54" s="436" t="str">
        <f>IF($A54=1,IF(OR(AND($E54=1,'Ответы учащихся'!AF54=0.5),AND($E54=2,'Ответы учащихся'!AF54=0.5),AND($E54=3,'Ответы учащихся'!AF54=0.5),AND($E54=4,'Ответы учащихся'!AF54=0.5)),1,IF('Ответы учащихся'!AF54="N",'Ответы учащихся'!AF54,0)),"")</f>
        <v/>
      </c>
      <c r="AX54" s="436" t="str">
        <f>IF($A54=1,IF(OR(AND($E54=1,'Ответы учащихся'!AG54=0.5),AND($E54=2,'Ответы учащихся'!AG54=0.5),AND($E54=3,'Ответы учащихся'!AG54=0.5),AND($E54=4,'Ответы учащихся'!AG54=0.5)),1,IF('Ответы учащихся'!AG54="N",'Ответы учащихся'!AG54,0)),"")</f>
        <v/>
      </c>
      <c r="AY54" s="436" t="str">
        <f>IF($A54=1,IF(OR(AND($E54=1,'Ответы учащихся'!AH54=0.5),AND($E54=2,'Ответы учащихся'!AH54=0.5),AND($E54=3,'Ответы учащихся'!AH54=0.5),AND($E54=4,'Ответы учащихся'!AH54=0.5)),1,IF('Ответы учащихся'!AH54="N",'Ответы учащихся'!AH54,0)),"")</f>
        <v/>
      </c>
      <c r="AZ54" s="436" t="str">
        <f>IF($A54=1,IF(OR(AND($E54=1,'Ответы учащихся'!AI54=0.5),AND($E54=2,'Ответы учащихся'!AI54=0.5),AND($E54=3,'Ответы учащихся'!AI54=0.5),AND($E54=4,'Ответы учащихся'!AI54=0.5)),1,IF('Ответы учащихся'!AI54="N",'Ответы учащихся'!AI54,0)),"")</f>
        <v/>
      </c>
      <c r="BA54" s="429"/>
      <c r="BB54" s="429"/>
      <c r="BC54" s="429"/>
      <c r="BD54" s="429"/>
      <c r="BE54" s="419"/>
      <c r="BF54" s="419"/>
      <c r="BG54" s="6"/>
      <c r="BH54" s="6"/>
      <c r="BI54" s="6"/>
      <c r="BJ54" s="6"/>
    </row>
    <row r="55" spans="1:90" ht="12.75" customHeight="1" x14ac:dyDescent="0.2">
      <c r="A55" s="12">
        <f>IF('СПИСОК КЛАССА'!J55&gt;0,1,0)</f>
        <v>0</v>
      </c>
      <c r="B55" s="100">
        <v>36</v>
      </c>
      <c r="C55" s="101" t="str">
        <f>IF(NOT(ISBLANK('СПИСОК КЛАССА'!C55)),'СПИСОК КЛАССА'!C55,"")</f>
        <v/>
      </c>
      <c r="D55" s="134" t="str">
        <f>IF(NOT(ISBLANK('СПИСОК КЛАССА'!D55)),IF($A55=1,'СПИСОК КЛАССА'!D55, "УЧЕНИК НЕ ВЫПОЛНЯЛ РАБОТУ"),"")</f>
        <v/>
      </c>
      <c r="E55" s="460" t="str">
        <f>IF($C55&lt;&gt;"",'СПИСОК КЛАССА'!J55,"")</f>
        <v/>
      </c>
      <c r="F55" s="133" t="str">
        <f>IF(AND(OR($C55&lt;&gt;"",$D55&lt;&gt;""),$A55=1,$AI$2="ДА"),'Ответы учащихся'!E55,"")</f>
        <v/>
      </c>
      <c r="G55" s="102" t="str">
        <f>IF(AND(OR($C55&lt;&gt;"",$D55&lt;&gt;""),$A55=1,$AI$2="ДА"),(IF($A55=1,IF(OR(AND($E55=1,'Ответы учащихся'!F55=2),AND($E55=2,'Ответы учащихся'!F55=4),AND($E55=3,OR('Ответы учащихся'!F55=3,'Ответы учащихся'!F55=4)),AND($E55=4,'Ответы учащихся'!F55=1)),1,IF('Ответы учащихся'!F55="N",'Ответы учащихся'!F55,0)),"")),"")</f>
        <v/>
      </c>
      <c r="H55" s="102" t="str">
        <f>IF(AND(OR($C55&lt;&gt;"",$D55&lt;&gt;""),$A55=1,$AI$2="ДА"),(IF($A55=1,IF(OR(AND($E55=1,'Ответы учащихся'!G55=1),AND($E55=2,'Ответы учащихся'!G55=3),AND($E55=3,'Ответы учащихся'!G55=3),AND($E55=4,'Ответы учащихся'!G55=3)),1,IF('Ответы учащихся'!G55="N",'Ответы учащихся'!G55,0)),"")),"")</f>
        <v/>
      </c>
      <c r="I55" s="102" t="str">
        <f>IF(AND(OR($C55&lt;&gt;"",$D55&lt;&gt;""),$A55=1,$AI$2="ДА"),(IF($A55=1,IF(OR(AND($E55=1,'Ответы учащихся'!H55=-6),AND($E55=2,'Ответы учащихся'!H55=3),AND($E55=3,'Ответы учащихся'!H55=-8),AND($E55=4,'Ответы учащихся'!H55=-6)),1,IF('Ответы учащихся'!H55="N",'Ответы учащихся'!H55,0)),"")),"")</f>
        <v/>
      </c>
      <c r="J55" s="102" t="str">
        <f>IF(AND(OR($C55&lt;&gt;"",$D55&lt;&gt;""),$A55=1,$AI$2="ДА"),(IF($A55=1,IF(OR(AND($E55=1,'Ответы учащихся'!I55=3412),AND($E55=2,'Ответы учащихся'!I55=2314),AND($E55=3,'Ответы учащихся'!I55=3142),AND($E55=4,'Ответы учащихся'!I55=1234)),1,IF('Ответы учащихся'!I55="N",'Ответы учащихся'!I55,0)),"")),"")</f>
        <v/>
      </c>
      <c r="K55" s="102" t="str">
        <f>IF(AND(OR($C55&lt;&gt;"",$D55&lt;&gt;""),$A55=1,$AI$2="ДА"),(IF($A55=1,IF(OR(AND($E55=1,'Ответы учащихся'!J55=390),AND($E55=2,'Ответы учащихся'!J55=273),AND($E55=3,'Ответы учащихся'!J55=205),AND($E55=4,'Ответы учащихся'!J55=240)),1,IF('Ответы учащихся'!J55="N",'Ответы учащихся'!J55,0)),"")),"")</f>
        <v/>
      </c>
      <c r="L55" s="102" t="str">
        <f>IF(AND(OR($C55&lt;&gt;"",$D55&lt;&gt;""),$A55=1,$AI$2="ДА"),(IF($A55=1,IF(OR(AND($E55=1,'Ответы учащихся'!K55=1),AND($E55=2,'Ответы учащихся'!K55=2),AND($E55=3,'Ответы учащихся'!K55=4),AND($E55=4,'Ответы учащихся'!K55=3)),1,IF('Ответы учащихся'!K55="N",'Ответы учащихся'!K55,0)),"")),"")</f>
        <v/>
      </c>
      <c r="M55" s="102" t="str">
        <f>IF(AND(OR($C55&lt;&gt;"",$D55&lt;&gt;""),$A55=1,$AI$2="ДА"),(IF($A55=1,IF(OR(AND($E55=1,'Ответы учащихся'!L55=3),AND($E55=2,'Ответы учащихся'!L55=1),AND($E55=3,'Ответы учащихся'!L55=4),AND($E55=4,'Ответы учащихся'!L55=2)),1,IF('Ответы учащихся'!L55="N",'Ответы учащихся'!L55,0)),"")),"")</f>
        <v/>
      </c>
      <c r="N55" s="102" t="str">
        <f>IF(AND(OR($C55&lt;&gt;"",$D55&lt;&gt;""),$A55=1,$AI$2="ДА"),'Ответы учащихся'!M55,"")</f>
        <v/>
      </c>
      <c r="O55" s="102" t="str">
        <f>IF(AND(OR($C55&lt;&gt;"",$D55&lt;&gt;""),$A55=1,$AI$2="ДА"),(IF($A55=1,IF(OR(AND($E55=1,'Ответы учащихся'!N55=3),AND($E55=2,'Ответы учащихся'!N55=2),AND($E55=3,'Ответы учащихся'!N55=4),AND($E55=4,'Ответы учащихся'!N55=1)),1,IF('Ответы учащихся'!N55="N",'Ответы учащихся'!N55,0)),"")),"")</f>
        <v/>
      </c>
      <c r="P55" s="102" t="str">
        <f>IF(AND(OR($C55&lt;&gt;"",$D55&lt;&gt;""),$A55=1,$AI$2="ДА"),(IF($A55=1,IF(OR(AND($E55=1,'Ответы учащихся'!O55="БВ"),AND($E55=2,'Ответы учащихся'!O55="АВГ"),AND($E55=3,'Ответы учащихся'!O55="БВГ"),AND($E55=4,'Ответы учащихся'!O55="АВ")),1,IF('Ответы учащихся'!O55="N",'Ответы учащихся'!O55,0)),"")),"")</f>
        <v/>
      </c>
      <c r="Q55" s="102" t="str">
        <f>IF(AND(OR($C55&lt;&gt;"",$D55&lt;&gt;""),$A55=1,$AI$2="ДА"),(IF($A55=1,IF(OR(AND($E55=1,'Ответы учащихся'!P55=2351),AND($E55=2,'Ответы учащихся'!P55=4132),AND($E55=3,'Ответы учащихся'!P55=3412),AND($E55=4,'Ответы учащихся'!P55=3125)),1,IF('Ответы учащихся'!P55="N",'Ответы учащихся'!P55,0)),"")),"")</f>
        <v/>
      </c>
      <c r="R55" s="102" t="str">
        <f>IF(AND(OR($C55&lt;&gt;"",$D55&lt;&gt;""),$A55=1,$AI$2="ДА"),(IF($A55=1,IF(OR(AND($E55=1,'Ответы учащихся'!Q55=2),AND($E55=2,'Ответы учащихся'!Q55=9),AND($E55=3,'Ответы учащихся'!Q55=5),AND($E55=4,'Ответы учащихся'!Q55=2)),1,IF('Ответы учащихся'!Q55="N",'Ответы учащихся'!Q55,0)),"")),"")</f>
        <v/>
      </c>
      <c r="S55" s="102" t="str">
        <f>IF(AND(OR($C55&lt;&gt;"",$D55&lt;&gt;""),$A55=1,$AI$2="ДА"),(IF($A55=1,IF(OR(AND($E55=1,'Ответы учащихся'!R55=35),AND($E55=2,'Ответы учащихся'!R55=74),AND($E55=3,'Ответы учащихся'!R55=72),AND($E55=4,'Ответы учащихся'!R55=66)),1,IF('Ответы учащихся'!R55="N",'Ответы учащихся'!R55,0)),"")),"")</f>
        <v/>
      </c>
      <c r="T55" s="102" t="str">
        <f>IF(AND(OR($C55&lt;&gt;"",$D55&lt;&gt;""),$A55=1,$AI$2="ДА"),(IF($A55=1,IF(OR(AND($E55=1,'Ответы учащихся'!S55=60),AND($E55=2,'Ответы учащихся'!S55=40),AND($E55=3,'Ответы учащихся'!S55=30),AND($E55=4,'Ответы учащихся'!S55=18)),1,IF('Ответы учащихся'!S55="N",'Ответы учащихся'!S55,0)),"")),"")</f>
        <v/>
      </c>
      <c r="U55" s="102" t="str">
        <f>IF(AND(OR($C55&lt;&gt;"",$D55&lt;&gt;""),$A55=1,$AI$2="ДА"),(IF($A55=1,IF(OR(AND($E55=1,'Ответы учащихся'!T55=3),AND($E55=2,'Ответы учащихся'!T55=4),AND($E55=3,'Ответы учащихся'!T55=2),AND($E55=4,'Ответы учащихся'!T55=3)),1,IF('Ответы учащихся'!T55="N",'Ответы учащихся'!T55,0)),"")),"")</f>
        <v/>
      </c>
      <c r="V55" s="102" t="str">
        <f>IF(AND(OR($C55&lt;&gt;"",$D55&lt;&gt;""),$A55=1,$AI$2="ДА"),(IF($A55=1,IF(OR(AND($E55=1,'Ответы учащихся'!U55=11),AND($E55=2,'Ответы учащихся'!U55=14),AND($E55=3,'Ответы учащихся'!U55=-2),AND($E55=4,'Ответы учащихся'!U55=25)),1,IF('Ответы учащихся'!U55="N",'Ответы учащихся'!U55,0)),"")),"")</f>
        <v/>
      </c>
      <c r="W55" s="102" t="str">
        <f>IF(AND(OR($C55&lt;&gt;"",$D55&lt;&gt;""),$A55=1,$AI$2="ДА"),(IF($A55=1,IF(OR(AND($E55=1,'Ответы учащихся'!V55=3000),AND($E55=2,'Ответы учащихся'!V55=2500),AND($E55=3,'Ответы учащихся'!V55=1500),AND($E55=4,'Ответы учащихся'!V55=1500)),1,IF('Ответы учащихся'!V55="N",'Ответы учащихся'!V55,0)),"")),"")</f>
        <v/>
      </c>
      <c r="X55" s="102"/>
      <c r="Y55" s="102" t="str">
        <f>IF(AND(OR($C55&lt;&gt;"",$D55&lt;&gt;""),$A55=1,$AI$2="ДА"),(IF($A55=1,IF(AND('Ответы учащихся'!$W55&lt;&gt;"N",'Ответы учащихся'!$X55&lt;&gt;"N",'Ответы учащихся'!$Y55&lt;&gt;"N",'Ответы учащихся'!$Z55&lt;&gt;"N",'Ответы учащихся'!$AA55&lt;&gt;"N"),(SUM('Ответы учащихся'!$W55:$AA55)),"N"),"")),"")</f>
        <v/>
      </c>
      <c r="Z55" s="102"/>
      <c r="AA55" s="102" t="str">
        <f>IF(AND(OR($C55&lt;&gt;"",$D55&lt;&gt;""),$A55=1,$AI$2="ДА"),(IF($A55=1,IF(AND('Ответы учащихся'!$AB55&lt;&gt;"N",'Ответы учащихся'!$AC55&lt;&gt;"N",'Ответы учащихся'!$AD55&lt;&gt;"N",'Ответы учащихся'!$AE55&lt;&gt;"N"),(SUM('Ответы учащихся'!$AB55:$AE55)),"N"),"")),"")</f>
        <v/>
      </c>
      <c r="AB55" s="289" t="str">
        <f>IF(AND(OR($C55&lt;&gt;"",$D55&lt;&gt;""),$A55=1,$AI$2="ДА"),(IF($A55=1,IF(AND('Ответы учащихся'!$AF55&lt;&gt;"N",'Ответы учащихся'!$AG55&lt;&gt;"N",'Ответы учащихся'!$AH55&lt;&gt;"N",'Ответы учащихся'!$AI55&lt;&gt;"N"),(SUM('Ответы учащихся'!$AF55:$AI55)),"N"),"")),"")</f>
        <v/>
      </c>
      <c r="AC55" s="468" t="str">
        <f t="shared" si="6"/>
        <v/>
      </c>
      <c r="AD55" s="326" t="str">
        <f t="shared" si="7"/>
        <v/>
      </c>
      <c r="AE55" s="327" t="str">
        <f t="shared" si="8"/>
        <v/>
      </c>
      <c r="AF55" s="328" t="str">
        <f t="shared" si="9"/>
        <v/>
      </c>
      <c r="AG55" s="327" t="str">
        <f t="shared" si="10"/>
        <v/>
      </c>
      <c r="AH55" s="329" t="str">
        <f t="shared" si="11"/>
        <v/>
      </c>
      <c r="AI55" s="456" t="str">
        <f t="shared" si="12"/>
        <v/>
      </c>
      <c r="AJ55" s="446">
        <f t="shared" si="13"/>
        <v>16.614705882352936</v>
      </c>
      <c r="AK55" s="447">
        <f t="shared" si="14"/>
        <v>0.69227941176470575</v>
      </c>
      <c r="AL55" s="445">
        <v>9</v>
      </c>
      <c r="AM55" s="446">
        <f t="shared" si="15"/>
        <v>77.287581699346404</v>
      </c>
      <c r="AN55" s="442" t="str">
        <f>IF($A55=1,IF(OR(AND($E55=1,'Ответы учащихся'!W55=0.4),AND($E55=2,'Ответы учащихся'!W55=0.4),AND($E55=3,'Ответы учащихся'!W55=0.4),AND($E55=4,'Ответы учащихся'!W55=0.4)),1,IF('Ответы учащихся'!W55="N",'Ответы учащихся'!W55,0)),"")</f>
        <v/>
      </c>
      <c r="AO55" s="434" t="str">
        <f>IF($A55=1,IF(OR(AND($E55=1,'Ответы учащихся'!X55=0.4),AND($E55=2,'Ответы учащихся'!X55=0.4),AND($E55=3,'Ответы учащихся'!X55=0.4),AND($E55=4,'Ответы учащихся'!X55=0.4)),1,IF('Ответы учащихся'!X55="N",'Ответы учащихся'!X55,0)),"")</f>
        <v/>
      </c>
      <c r="AP55" s="434" t="str">
        <f>IF($A55=1,IF(OR(AND($E55=1,'Ответы учащихся'!Y55=0.4),AND($E55=2,'Ответы учащихся'!Y55=0.4),AND($E55=3,'Ответы учащихся'!Y55=0.4),AND($E55=4,'Ответы учащихся'!Y55=0.4)),1,IF('Ответы учащихся'!Y55="N",'Ответы учащихся'!Y55,0)),"")</f>
        <v/>
      </c>
      <c r="AQ55" s="434" t="str">
        <f>IF($A55=1,IF(OR(AND($E55=1,'Ответы учащихся'!Z55=0.4),AND($E55=2,'Ответы учащихся'!Z55=0.4),AND($E55=3,'Ответы учащихся'!Z55=0.4),AND($E55=4,'Ответы учащихся'!Z55=0.4)),1,IF('Ответы учащихся'!Z55="N",'Ответы учащихся'!Z55,0)),"")</f>
        <v/>
      </c>
      <c r="AR55" s="434" t="str">
        <f>IF($A55=1,IF(OR(AND($E55=1,'Ответы учащихся'!AA55=0.4),AND($E55=2,'Ответы учащихся'!AA55=0.4),AND($E55=3,'Ответы учащихся'!AA55=0.4),AND($E55=4,'Ответы учащихся'!AA55=0.4)),1,IF('Ответы учащихся'!AA55="N",'Ответы учащихся'!AA55,0)),"")</f>
        <v/>
      </c>
      <c r="AS55" s="435" t="str">
        <f>IF($A55=1,IF(OR(AND($E55=1,'Ответы учащихся'!AB55=0.5),AND($E55=2,'Ответы учащихся'!AB55=0.5),AND($E55=3,'Ответы учащихся'!AB55=0.5),AND($E55=4,'Ответы учащихся'!AB55=0.5)),1,IF('Ответы учащихся'!AB55="N",'Ответы учащихся'!AB55,0)),"")</f>
        <v/>
      </c>
      <c r="AT55" s="435" t="str">
        <f>IF($A55=1,IF(OR(AND($E55=1,'Ответы учащихся'!AC55=0.5),AND($E55=2,'Ответы учащихся'!AC55=0.5),AND($E55=3,'Ответы учащихся'!AC55=0.5),AND($E55=4,'Ответы учащихся'!AC55=0.5)),1,IF('Ответы учащихся'!AC55="N",'Ответы учащихся'!AC55,0)),"")</f>
        <v/>
      </c>
      <c r="AU55" s="435" t="str">
        <f>IF($A55=1,IF(OR(AND($E55=1,'Ответы учащихся'!AD55=0.5),AND($E55=2,'Ответы учащихся'!AD55=0.5),AND($E55=3,'Ответы учащихся'!AD55=0.5),AND($E55=4,'Ответы учащихся'!AD55=0.5)),1,IF('Ответы учащихся'!AD55="N",'Ответы учащихся'!AD55,0)),"")</f>
        <v/>
      </c>
      <c r="AV55" s="435" t="str">
        <f>IF($A55=1,IF(OR(AND($E55=1,'Ответы учащихся'!AE55=0.5),AND($E55=2,'Ответы учащихся'!AE55=0.5),AND($E55=3,'Ответы учащихся'!AE55=0.5),AND($E55=4,'Ответы учащихся'!AE55=0.5)),1,IF('Ответы учащихся'!AE55="N",'Ответы учащихся'!AE55,0)),"")</f>
        <v/>
      </c>
      <c r="AW55" s="436" t="str">
        <f>IF($A55=1,IF(OR(AND($E55=1,'Ответы учащихся'!AF55=0.5),AND($E55=2,'Ответы учащихся'!AF55=0.5),AND($E55=3,'Ответы учащихся'!AF55=0.5),AND($E55=4,'Ответы учащихся'!AF55=0.5)),1,IF('Ответы учащихся'!AF55="N",'Ответы учащихся'!AF55,0)),"")</f>
        <v/>
      </c>
      <c r="AX55" s="436" t="str">
        <f>IF($A55=1,IF(OR(AND($E55=1,'Ответы учащихся'!AG55=0.5),AND($E55=2,'Ответы учащихся'!AG55=0.5),AND($E55=3,'Ответы учащихся'!AG55=0.5),AND($E55=4,'Ответы учащихся'!AG55=0.5)),1,IF('Ответы учащихся'!AG55="N",'Ответы учащихся'!AG55,0)),"")</f>
        <v/>
      </c>
      <c r="AY55" s="436" t="str">
        <f>IF($A55=1,IF(OR(AND($E55=1,'Ответы учащихся'!AH55=0.5),AND($E55=2,'Ответы учащихся'!AH55=0.5),AND($E55=3,'Ответы учащихся'!AH55=0.5),AND($E55=4,'Ответы учащихся'!AH55=0.5)),1,IF('Ответы учащихся'!AH55="N",'Ответы учащихся'!AH55,0)),"")</f>
        <v/>
      </c>
      <c r="AZ55" s="436" t="str">
        <f>IF($A55=1,IF(OR(AND($E55=1,'Ответы учащихся'!AI55=0.5),AND($E55=2,'Ответы учащихся'!AI55=0.5),AND($E55=3,'Ответы учащихся'!AI55=0.5),AND($E55=4,'Ответы учащихся'!AI55=0.5)),1,IF('Ответы учащихся'!AI55="N",'Ответы учащихся'!AI55,0)),"")</f>
        <v/>
      </c>
      <c r="BA55" s="429"/>
      <c r="BB55" s="429"/>
      <c r="BC55" s="429"/>
      <c r="BD55" s="429"/>
      <c r="BE55" s="419"/>
      <c r="BF55" s="419"/>
      <c r="BG55" s="6"/>
      <c r="BH55" s="6"/>
      <c r="BI55" s="6"/>
      <c r="BJ55" s="6"/>
    </row>
    <row r="56" spans="1:90" ht="12.75" customHeight="1" x14ac:dyDescent="0.2">
      <c r="A56" s="12">
        <f>IF('СПИСОК КЛАССА'!J56&gt;0,1,0)</f>
        <v>0</v>
      </c>
      <c r="B56" s="100">
        <v>37</v>
      </c>
      <c r="C56" s="101" t="str">
        <f>IF(NOT(ISBLANK('СПИСОК КЛАССА'!C56)),'СПИСОК КЛАССА'!C56,"")</f>
        <v/>
      </c>
      <c r="D56" s="134" t="str">
        <f>IF(NOT(ISBLANK('СПИСОК КЛАССА'!D56)),IF($A56=1,'СПИСОК КЛАССА'!D56, "УЧЕНИК НЕ ВЫПОЛНЯЛ РАБОТУ"),"")</f>
        <v/>
      </c>
      <c r="E56" s="460" t="str">
        <f>IF($C56&lt;&gt;"",'СПИСОК КЛАССА'!J56,"")</f>
        <v/>
      </c>
      <c r="F56" s="133" t="str">
        <f>IF(AND(OR($C56&lt;&gt;"",$D56&lt;&gt;""),$A56=1,$AI$2="ДА"),'Ответы учащихся'!E56,"")</f>
        <v/>
      </c>
      <c r="G56" s="102" t="str">
        <f>IF(AND(OR($C56&lt;&gt;"",$D56&lt;&gt;""),$A56=1,$AI$2="ДА"),(IF($A56=1,IF(OR(AND($E56=1,'Ответы учащихся'!F56=2),AND($E56=2,'Ответы учащихся'!F56=4),AND($E56=3,OR('Ответы учащихся'!F56=3,'Ответы учащихся'!F56=4)),AND($E56=4,'Ответы учащихся'!F56=1)),1,IF('Ответы учащихся'!F56="N",'Ответы учащихся'!F56,0)),"")),"")</f>
        <v/>
      </c>
      <c r="H56" s="102" t="str">
        <f>IF(AND(OR($C56&lt;&gt;"",$D56&lt;&gt;""),$A56=1,$AI$2="ДА"),(IF($A56=1,IF(OR(AND($E56=1,'Ответы учащихся'!G56=1),AND($E56=2,'Ответы учащихся'!G56=3),AND($E56=3,'Ответы учащихся'!G56=3),AND($E56=4,'Ответы учащихся'!G56=3)),1,IF('Ответы учащихся'!G56="N",'Ответы учащихся'!G56,0)),"")),"")</f>
        <v/>
      </c>
      <c r="I56" s="102" t="str">
        <f>IF(AND(OR($C56&lt;&gt;"",$D56&lt;&gt;""),$A56=1,$AI$2="ДА"),(IF($A56=1,IF(OR(AND($E56=1,'Ответы учащихся'!H56=-6),AND($E56=2,'Ответы учащихся'!H56=3),AND($E56=3,'Ответы учащихся'!H56=-8),AND($E56=4,'Ответы учащихся'!H56=-6)),1,IF('Ответы учащихся'!H56="N",'Ответы учащихся'!H56,0)),"")),"")</f>
        <v/>
      </c>
      <c r="J56" s="102" t="str">
        <f>IF(AND(OR($C56&lt;&gt;"",$D56&lt;&gt;""),$A56=1,$AI$2="ДА"),(IF($A56=1,IF(OR(AND($E56=1,'Ответы учащихся'!I56=3412),AND($E56=2,'Ответы учащихся'!I56=2314),AND($E56=3,'Ответы учащихся'!I56=3142),AND($E56=4,'Ответы учащихся'!I56=1234)),1,IF('Ответы учащихся'!I56="N",'Ответы учащихся'!I56,0)),"")),"")</f>
        <v/>
      </c>
      <c r="K56" s="102" t="str">
        <f>IF(AND(OR($C56&lt;&gt;"",$D56&lt;&gt;""),$A56=1,$AI$2="ДА"),(IF($A56=1,IF(OR(AND($E56=1,'Ответы учащихся'!J56=390),AND($E56=2,'Ответы учащихся'!J56=273),AND($E56=3,'Ответы учащихся'!J56=205),AND($E56=4,'Ответы учащихся'!J56=240)),1,IF('Ответы учащихся'!J56="N",'Ответы учащихся'!J56,0)),"")),"")</f>
        <v/>
      </c>
      <c r="L56" s="102" t="str">
        <f>IF(AND(OR($C56&lt;&gt;"",$D56&lt;&gt;""),$A56=1,$AI$2="ДА"),(IF($A56=1,IF(OR(AND($E56=1,'Ответы учащихся'!K56=1),AND($E56=2,'Ответы учащихся'!K56=2),AND($E56=3,'Ответы учащихся'!K56=4),AND($E56=4,'Ответы учащихся'!K56=3)),1,IF('Ответы учащихся'!K56="N",'Ответы учащихся'!K56,0)),"")),"")</f>
        <v/>
      </c>
      <c r="M56" s="102" t="str">
        <f>IF(AND(OR($C56&lt;&gt;"",$D56&lt;&gt;""),$A56=1,$AI$2="ДА"),(IF($A56=1,IF(OR(AND($E56=1,'Ответы учащихся'!L56=3),AND($E56=2,'Ответы учащихся'!L56=1),AND($E56=3,'Ответы учащихся'!L56=4),AND($E56=4,'Ответы учащихся'!L56=2)),1,IF('Ответы учащихся'!L56="N",'Ответы учащихся'!L56,0)),"")),"")</f>
        <v/>
      </c>
      <c r="N56" s="102" t="str">
        <f>IF(AND(OR($C56&lt;&gt;"",$D56&lt;&gt;""),$A56=1,$AI$2="ДА"),'Ответы учащихся'!M56,"")</f>
        <v/>
      </c>
      <c r="O56" s="102" t="str">
        <f>IF(AND(OR($C56&lt;&gt;"",$D56&lt;&gt;""),$A56=1,$AI$2="ДА"),(IF($A56=1,IF(OR(AND($E56=1,'Ответы учащихся'!N56=3),AND($E56=2,'Ответы учащихся'!N56=2),AND($E56=3,'Ответы учащихся'!N56=4),AND($E56=4,'Ответы учащихся'!N56=1)),1,IF('Ответы учащихся'!N56="N",'Ответы учащихся'!N56,0)),"")),"")</f>
        <v/>
      </c>
      <c r="P56" s="102" t="str">
        <f>IF(AND(OR($C56&lt;&gt;"",$D56&lt;&gt;""),$A56=1,$AI$2="ДА"),(IF($A56=1,IF(OR(AND($E56=1,'Ответы учащихся'!O56="БВ"),AND($E56=2,'Ответы учащихся'!O56="АВГ"),AND($E56=3,'Ответы учащихся'!O56="БВГ"),AND($E56=4,'Ответы учащихся'!O56="АВ")),1,IF('Ответы учащихся'!O56="N",'Ответы учащихся'!O56,0)),"")),"")</f>
        <v/>
      </c>
      <c r="Q56" s="102" t="str">
        <f>IF(AND(OR($C56&lt;&gt;"",$D56&lt;&gt;""),$A56=1,$AI$2="ДА"),(IF($A56=1,IF(OR(AND($E56=1,'Ответы учащихся'!P56=2351),AND($E56=2,'Ответы учащихся'!P56=4132),AND($E56=3,'Ответы учащихся'!P56=3412),AND($E56=4,'Ответы учащихся'!P56=3125)),1,IF('Ответы учащихся'!P56="N",'Ответы учащихся'!P56,0)),"")),"")</f>
        <v/>
      </c>
      <c r="R56" s="102" t="str">
        <f>IF(AND(OR($C56&lt;&gt;"",$D56&lt;&gt;""),$A56=1,$AI$2="ДА"),(IF($A56=1,IF(OR(AND($E56=1,'Ответы учащихся'!Q56=2),AND($E56=2,'Ответы учащихся'!Q56=9),AND($E56=3,'Ответы учащихся'!Q56=5),AND($E56=4,'Ответы учащихся'!Q56=2)),1,IF('Ответы учащихся'!Q56="N",'Ответы учащихся'!Q56,0)),"")),"")</f>
        <v/>
      </c>
      <c r="S56" s="102" t="str">
        <f>IF(AND(OR($C56&lt;&gt;"",$D56&lt;&gt;""),$A56=1,$AI$2="ДА"),(IF($A56=1,IF(OR(AND($E56=1,'Ответы учащихся'!R56=35),AND($E56=2,'Ответы учащихся'!R56=74),AND($E56=3,'Ответы учащихся'!R56=72),AND($E56=4,'Ответы учащихся'!R56=66)),1,IF('Ответы учащихся'!R56="N",'Ответы учащихся'!R56,0)),"")),"")</f>
        <v/>
      </c>
      <c r="T56" s="102" t="str">
        <f>IF(AND(OR($C56&lt;&gt;"",$D56&lt;&gt;""),$A56=1,$AI$2="ДА"),(IF($A56=1,IF(OR(AND($E56=1,'Ответы учащихся'!S56=60),AND($E56=2,'Ответы учащихся'!S56=40),AND($E56=3,'Ответы учащихся'!S56=30),AND($E56=4,'Ответы учащихся'!S56=18)),1,IF('Ответы учащихся'!S56="N",'Ответы учащихся'!S56,0)),"")),"")</f>
        <v/>
      </c>
      <c r="U56" s="102" t="str">
        <f>IF(AND(OR($C56&lt;&gt;"",$D56&lt;&gt;""),$A56=1,$AI$2="ДА"),(IF($A56=1,IF(OR(AND($E56=1,'Ответы учащихся'!T56=3),AND($E56=2,'Ответы учащихся'!T56=4),AND($E56=3,'Ответы учащихся'!T56=2),AND($E56=4,'Ответы учащихся'!T56=3)),1,IF('Ответы учащихся'!T56="N",'Ответы учащихся'!T56,0)),"")),"")</f>
        <v/>
      </c>
      <c r="V56" s="102" t="str">
        <f>IF(AND(OR($C56&lt;&gt;"",$D56&lt;&gt;""),$A56=1,$AI$2="ДА"),(IF($A56=1,IF(OR(AND($E56=1,'Ответы учащихся'!U56=11),AND($E56=2,'Ответы учащихся'!U56=14),AND($E56=3,'Ответы учащихся'!U56=-2),AND($E56=4,'Ответы учащихся'!U56=25)),1,IF('Ответы учащихся'!U56="N",'Ответы учащихся'!U56,0)),"")),"")</f>
        <v/>
      </c>
      <c r="W56" s="102" t="str">
        <f>IF(AND(OR($C56&lt;&gt;"",$D56&lt;&gt;""),$A56=1,$AI$2="ДА"),(IF($A56=1,IF(OR(AND($E56=1,'Ответы учащихся'!V56=3000),AND($E56=2,'Ответы учащихся'!V56=2500),AND($E56=3,'Ответы учащихся'!V56=1500),AND($E56=4,'Ответы учащихся'!V56=1500)),1,IF('Ответы учащихся'!V56="N",'Ответы учащихся'!V56,0)),"")),"")</f>
        <v/>
      </c>
      <c r="X56" s="102"/>
      <c r="Y56" s="102" t="str">
        <f>IF(AND(OR($C56&lt;&gt;"",$D56&lt;&gt;""),$A56=1,$AI$2="ДА"),(IF($A56=1,IF(AND('Ответы учащихся'!$W56&lt;&gt;"N",'Ответы учащихся'!$X56&lt;&gt;"N",'Ответы учащихся'!$Y56&lt;&gt;"N",'Ответы учащихся'!$Z56&lt;&gt;"N",'Ответы учащихся'!$AA56&lt;&gt;"N"),(SUM('Ответы учащихся'!$W56:$AA56)),"N"),"")),"")</f>
        <v/>
      </c>
      <c r="Z56" s="102"/>
      <c r="AA56" s="102" t="str">
        <f>IF(AND(OR($C56&lt;&gt;"",$D56&lt;&gt;""),$A56=1,$AI$2="ДА"),(IF($A56=1,IF(AND('Ответы учащихся'!$AB56&lt;&gt;"N",'Ответы учащихся'!$AC56&lt;&gt;"N",'Ответы учащихся'!$AD56&lt;&gt;"N",'Ответы учащихся'!$AE56&lt;&gt;"N"),(SUM('Ответы учащихся'!$AB56:$AE56)),"N"),"")),"")</f>
        <v/>
      </c>
      <c r="AB56" s="289" t="str">
        <f>IF(AND(OR($C56&lt;&gt;"",$D56&lt;&gt;""),$A56=1,$AI$2="ДА"),(IF($A56=1,IF(AND('Ответы учащихся'!$AF56&lt;&gt;"N",'Ответы учащихся'!$AG56&lt;&gt;"N",'Ответы учащихся'!$AH56&lt;&gt;"N",'Ответы учащихся'!$AI56&lt;&gt;"N"),(SUM('Ответы учащихся'!$AF56:$AI56)),"N"),"")),"")</f>
        <v/>
      </c>
      <c r="AC56" s="468" t="str">
        <f t="shared" si="6"/>
        <v/>
      </c>
      <c r="AD56" s="326" t="str">
        <f t="shared" si="7"/>
        <v/>
      </c>
      <c r="AE56" s="327" t="str">
        <f t="shared" si="8"/>
        <v/>
      </c>
      <c r="AF56" s="328" t="str">
        <f t="shared" si="9"/>
        <v/>
      </c>
      <c r="AG56" s="327" t="str">
        <f t="shared" si="10"/>
        <v/>
      </c>
      <c r="AH56" s="329" t="str">
        <f t="shared" si="11"/>
        <v/>
      </c>
      <c r="AI56" s="456" t="str">
        <f t="shared" si="12"/>
        <v/>
      </c>
      <c r="AJ56" s="446">
        <f t="shared" si="13"/>
        <v>16.614705882352936</v>
      </c>
      <c r="AK56" s="447">
        <f t="shared" si="14"/>
        <v>0.69227941176470575</v>
      </c>
      <c r="AL56" s="445">
        <v>9</v>
      </c>
      <c r="AM56" s="446">
        <f t="shared" si="15"/>
        <v>77.287581699346404</v>
      </c>
      <c r="AN56" s="442" t="str">
        <f>IF($A56=1,IF(OR(AND($E56=1,'Ответы учащихся'!W56=0.4),AND($E56=2,'Ответы учащихся'!W56=0.4),AND($E56=3,'Ответы учащихся'!W56=0.4),AND($E56=4,'Ответы учащихся'!W56=0.4)),1,IF('Ответы учащихся'!W56="N",'Ответы учащихся'!W56,0)),"")</f>
        <v/>
      </c>
      <c r="AO56" s="434" t="str">
        <f>IF($A56=1,IF(OR(AND($E56=1,'Ответы учащихся'!X56=0.4),AND($E56=2,'Ответы учащихся'!X56=0.4),AND($E56=3,'Ответы учащихся'!X56=0.4),AND($E56=4,'Ответы учащихся'!X56=0.4)),1,IF('Ответы учащихся'!X56="N",'Ответы учащихся'!X56,0)),"")</f>
        <v/>
      </c>
      <c r="AP56" s="434" t="str">
        <f>IF($A56=1,IF(OR(AND($E56=1,'Ответы учащихся'!Y56=0.4),AND($E56=2,'Ответы учащихся'!Y56=0.4),AND($E56=3,'Ответы учащихся'!Y56=0.4),AND($E56=4,'Ответы учащихся'!Y56=0.4)),1,IF('Ответы учащихся'!Y56="N",'Ответы учащихся'!Y56,0)),"")</f>
        <v/>
      </c>
      <c r="AQ56" s="434" t="str">
        <f>IF($A56=1,IF(OR(AND($E56=1,'Ответы учащихся'!Z56=0.4),AND($E56=2,'Ответы учащихся'!Z56=0.4),AND($E56=3,'Ответы учащихся'!Z56=0.4),AND($E56=4,'Ответы учащихся'!Z56=0.4)),1,IF('Ответы учащихся'!Z56="N",'Ответы учащихся'!Z56,0)),"")</f>
        <v/>
      </c>
      <c r="AR56" s="434" t="str">
        <f>IF($A56=1,IF(OR(AND($E56=1,'Ответы учащихся'!AA56=0.4),AND($E56=2,'Ответы учащихся'!AA56=0.4),AND($E56=3,'Ответы учащихся'!AA56=0.4),AND($E56=4,'Ответы учащихся'!AA56=0.4)),1,IF('Ответы учащихся'!AA56="N",'Ответы учащихся'!AA56,0)),"")</f>
        <v/>
      </c>
      <c r="AS56" s="435" t="str">
        <f>IF($A56=1,IF(OR(AND($E56=1,'Ответы учащихся'!AB56=0.5),AND($E56=2,'Ответы учащихся'!AB56=0.5),AND($E56=3,'Ответы учащихся'!AB56=0.5),AND($E56=4,'Ответы учащихся'!AB56=0.5)),1,IF('Ответы учащихся'!AB56="N",'Ответы учащихся'!AB56,0)),"")</f>
        <v/>
      </c>
      <c r="AT56" s="435" t="str">
        <f>IF($A56=1,IF(OR(AND($E56=1,'Ответы учащихся'!AC56=0.5),AND($E56=2,'Ответы учащихся'!AC56=0.5),AND($E56=3,'Ответы учащихся'!AC56=0.5),AND($E56=4,'Ответы учащихся'!AC56=0.5)),1,IF('Ответы учащихся'!AC56="N",'Ответы учащихся'!AC56,0)),"")</f>
        <v/>
      </c>
      <c r="AU56" s="435" t="str">
        <f>IF($A56=1,IF(OR(AND($E56=1,'Ответы учащихся'!AD56=0.5),AND($E56=2,'Ответы учащихся'!AD56=0.5),AND($E56=3,'Ответы учащихся'!AD56=0.5),AND($E56=4,'Ответы учащихся'!AD56=0.5)),1,IF('Ответы учащихся'!AD56="N",'Ответы учащихся'!AD56,0)),"")</f>
        <v/>
      </c>
      <c r="AV56" s="435" t="str">
        <f>IF($A56=1,IF(OR(AND($E56=1,'Ответы учащихся'!AE56=0.5),AND($E56=2,'Ответы учащихся'!AE56=0.5),AND($E56=3,'Ответы учащихся'!AE56=0.5),AND($E56=4,'Ответы учащихся'!AE56=0.5)),1,IF('Ответы учащихся'!AE56="N",'Ответы учащихся'!AE56,0)),"")</f>
        <v/>
      </c>
      <c r="AW56" s="440" t="str">
        <f>IF($A56=1,IF(OR(AND($E56=1,'Ответы учащихся'!AF56=0.5),AND($E56=2,'Ответы учащихся'!AF56=0.5),AND($E56=3,'Ответы учащихся'!AF56=0.5),AND($E56=4,'Ответы учащихся'!AF56=0.5)),1,IF('Ответы учащихся'!AF56="N",'Ответы учащихся'!AF56,0)),"")</f>
        <v/>
      </c>
      <c r="AX56" s="440" t="str">
        <f>IF($A56=1,IF(OR(AND($E56=1,'Ответы учащихся'!AG56=0.5),AND($E56=2,'Ответы учащихся'!AG56=0.5),AND($E56=3,'Ответы учащихся'!AG56=0.5),AND($E56=4,'Ответы учащихся'!AG56=0.5)),1,IF('Ответы учащихся'!AG56="N",'Ответы учащихся'!AG56,0)),"")</f>
        <v/>
      </c>
      <c r="AY56" s="440" t="str">
        <f>IF($A56=1,IF(OR(AND($E56=1,'Ответы учащихся'!AH56=0.5),AND($E56=2,'Ответы учащихся'!AH56=0.5),AND($E56=3,'Ответы учащихся'!AH56=0.5),AND($E56=4,'Ответы учащихся'!AH56=0.5)),1,IF('Ответы учащихся'!AH56="N",'Ответы учащихся'!AH56,0)),"")</f>
        <v/>
      </c>
      <c r="AZ56" s="440" t="str">
        <f>IF($A56=1,IF(OR(AND($E56=1,'Ответы учащихся'!AI56=0.5),AND($E56=2,'Ответы учащихся'!AI56=0.5),AND($E56=3,'Ответы учащихся'!AI56=0.5),AND($E56=4,'Ответы учащихся'!AI56=0.5)),1,IF('Ответы учащихся'!AI56="N",'Ответы учащихся'!AI56,0)),"")</f>
        <v/>
      </c>
      <c r="BA56" s="429"/>
      <c r="BB56" s="429"/>
      <c r="BC56" s="429"/>
      <c r="BD56" s="429"/>
      <c r="BE56" s="419"/>
      <c r="BF56" s="419"/>
      <c r="BG56" s="6"/>
      <c r="BH56" s="6"/>
      <c r="BI56" s="6"/>
      <c r="BJ56" s="6"/>
    </row>
    <row r="57" spans="1:90" ht="12.75" customHeight="1" x14ac:dyDescent="0.2">
      <c r="A57" s="12">
        <f>IF('СПИСОК КЛАССА'!J57&gt;0,1,0)</f>
        <v>0</v>
      </c>
      <c r="B57" s="100">
        <v>38</v>
      </c>
      <c r="C57" s="101" t="str">
        <f>IF(NOT(ISBLANK('СПИСОК КЛАССА'!C57)),'СПИСОК КЛАССА'!C57,"")</f>
        <v/>
      </c>
      <c r="D57" s="134" t="str">
        <f>IF(NOT(ISBLANK('СПИСОК КЛАССА'!D57)),IF($A57=1,'СПИСОК КЛАССА'!D57, "УЧЕНИК НЕ ВЫПОЛНЯЛ РАБОТУ"),"")</f>
        <v/>
      </c>
      <c r="E57" s="460" t="str">
        <f>IF($C57&lt;&gt;"",'СПИСОК КЛАССА'!J57,"")</f>
        <v/>
      </c>
      <c r="F57" s="133" t="str">
        <f>IF(AND(OR($C57&lt;&gt;"",$D57&lt;&gt;""),$A57=1,$AI$2="ДА"),'Ответы учащихся'!E57,"")</f>
        <v/>
      </c>
      <c r="G57" s="102" t="str">
        <f>IF(AND(OR($C57&lt;&gt;"",$D57&lt;&gt;""),$A57=1,$AI$2="ДА"),(IF($A57=1,IF(OR(AND($E57=1,'Ответы учащихся'!F57=2),AND($E57=2,'Ответы учащихся'!F57=4),AND($E57=3,OR('Ответы учащихся'!F57=3,'Ответы учащихся'!F57=4)),AND($E57=4,'Ответы учащихся'!F57=1)),1,IF('Ответы учащихся'!F57="N",'Ответы учащихся'!F57,0)),"")),"")</f>
        <v/>
      </c>
      <c r="H57" s="102" t="str">
        <f>IF(AND(OR($C57&lt;&gt;"",$D57&lt;&gt;""),$A57=1,$AI$2="ДА"),(IF($A57=1,IF(OR(AND($E57=1,'Ответы учащихся'!G57=1),AND($E57=2,'Ответы учащихся'!G57=3),AND($E57=3,'Ответы учащихся'!G57=3),AND($E57=4,'Ответы учащихся'!G57=3)),1,IF('Ответы учащихся'!G57="N",'Ответы учащихся'!G57,0)),"")),"")</f>
        <v/>
      </c>
      <c r="I57" s="102" t="str">
        <f>IF(AND(OR($C57&lt;&gt;"",$D57&lt;&gt;""),$A57=1,$AI$2="ДА"),(IF($A57=1,IF(OR(AND($E57=1,'Ответы учащихся'!H57=-6),AND($E57=2,'Ответы учащихся'!H57=3),AND($E57=3,'Ответы учащихся'!H57=-8),AND($E57=4,'Ответы учащихся'!H57=-6)),1,IF('Ответы учащихся'!H57="N",'Ответы учащихся'!H57,0)),"")),"")</f>
        <v/>
      </c>
      <c r="J57" s="102" t="str">
        <f>IF(AND(OR($C57&lt;&gt;"",$D57&lt;&gt;""),$A57=1,$AI$2="ДА"),(IF($A57=1,IF(OR(AND($E57=1,'Ответы учащихся'!I57=3412),AND($E57=2,'Ответы учащихся'!I57=2314),AND($E57=3,'Ответы учащихся'!I57=3142),AND($E57=4,'Ответы учащихся'!I57=1234)),1,IF('Ответы учащихся'!I57="N",'Ответы учащихся'!I57,0)),"")),"")</f>
        <v/>
      </c>
      <c r="K57" s="102" t="str">
        <f>IF(AND(OR($C57&lt;&gt;"",$D57&lt;&gt;""),$A57=1,$AI$2="ДА"),(IF($A57=1,IF(OR(AND($E57=1,'Ответы учащихся'!J57=390),AND($E57=2,'Ответы учащихся'!J57=273),AND($E57=3,'Ответы учащихся'!J57=205),AND($E57=4,'Ответы учащихся'!J57=240)),1,IF('Ответы учащихся'!J57="N",'Ответы учащихся'!J57,0)),"")),"")</f>
        <v/>
      </c>
      <c r="L57" s="102" t="str">
        <f>IF(AND(OR($C57&lt;&gt;"",$D57&lt;&gt;""),$A57=1,$AI$2="ДА"),(IF($A57=1,IF(OR(AND($E57=1,'Ответы учащихся'!K57=1),AND($E57=2,'Ответы учащихся'!K57=2),AND($E57=3,'Ответы учащихся'!K57=4),AND($E57=4,'Ответы учащихся'!K57=3)),1,IF('Ответы учащихся'!K57="N",'Ответы учащихся'!K57,0)),"")),"")</f>
        <v/>
      </c>
      <c r="M57" s="102" t="str">
        <f>IF(AND(OR($C57&lt;&gt;"",$D57&lt;&gt;""),$A57=1,$AI$2="ДА"),(IF($A57=1,IF(OR(AND($E57=1,'Ответы учащихся'!L57=3),AND($E57=2,'Ответы учащихся'!L57=1),AND($E57=3,'Ответы учащихся'!L57=4),AND($E57=4,'Ответы учащихся'!L57=2)),1,IF('Ответы учащихся'!L57="N",'Ответы учащихся'!L57,0)),"")),"")</f>
        <v/>
      </c>
      <c r="N57" s="102" t="str">
        <f>IF(AND(OR($C57&lt;&gt;"",$D57&lt;&gt;""),$A57=1,$AI$2="ДА"),'Ответы учащихся'!M57,"")</f>
        <v/>
      </c>
      <c r="O57" s="102" t="str">
        <f>IF(AND(OR($C57&lt;&gt;"",$D57&lt;&gt;""),$A57=1,$AI$2="ДА"),(IF($A57=1,IF(OR(AND($E57=1,'Ответы учащихся'!N57=3),AND($E57=2,'Ответы учащихся'!N57=2),AND($E57=3,'Ответы учащихся'!N57=4),AND($E57=4,'Ответы учащихся'!N57=1)),1,IF('Ответы учащихся'!N57="N",'Ответы учащихся'!N57,0)),"")),"")</f>
        <v/>
      </c>
      <c r="P57" s="102" t="str">
        <f>IF(AND(OR($C57&lt;&gt;"",$D57&lt;&gt;""),$A57=1,$AI$2="ДА"),(IF($A57=1,IF(OR(AND($E57=1,'Ответы учащихся'!O57="БВ"),AND($E57=2,'Ответы учащихся'!O57="АВГ"),AND($E57=3,'Ответы учащихся'!O57="БВГ"),AND($E57=4,'Ответы учащихся'!O57="АВ")),1,IF('Ответы учащихся'!O57="N",'Ответы учащихся'!O57,0)),"")),"")</f>
        <v/>
      </c>
      <c r="Q57" s="102" t="str">
        <f>IF(AND(OR($C57&lt;&gt;"",$D57&lt;&gt;""),$A57=1,$AI$2="ДА"),(IF($A57=1,IF(OR(AND($E57=1,'Ответы учащихся'!P57=2351),AND($E57=2,'Ответы учащихся'!P57=4132),AND($E57=3,'Ответы учащихся'!P57=3412),AND($E57=4,'Ответы учащихся'!P57=3125)),1,IF('Ответы учащихся'!P57="N",'Ответы учащихся'!P57,0)),"")),"")</f>
        <v/>
      </c>
      <c r="R57" s="102" t="str">
        <f>IF(AND(OR($C57&lt;&gt;"",$D57&lt;&gt;""),$A57=1,$AI$2="ДА"),(IF($A57=1,IF(OR(AND($E57=1,'Ответы учащихся'!Q57=2),AND($E57=2,'Ответы учащихся'!Q57=9),AND($E57=3,'Ответы учащихся'!Q57=5),AND($E57=4,'Ответы учащихся'!Q57=2)),1,IF('Ответы учащихся'!Q57="N",'Ответы учащихся'!Q57,0)),"")),"")</f>
        <v/>
      </c>
      <c r="S57" s="102" t="str">
        <f>IF(AND(OR($C57&lt;&gt;"",$D57&lt;&gt;""),$A57=1,$AI$2="ДА"),(IF($A57=1,IF(OR(AND($E57=1,'Ответы учащихся'!R57=35),AND($E57=2,'Ответы учащихся'!R57=74),AND($E57=3,'Ответы учащихся'!R57=72),AND($E57=4,'Ответы учащихся'!R57=66)),1,IF('Ответы учащихся'!R57="N",'Ответы учащихся'!R57,0)),"")),"")</f>
        <v/>
      </c>
      <c r="T57" s="102" t="str">
        <f>IF(AND(OR($C57&lt;&gt;"",$D57&lt;&gt;""),$A57=1,$AI$2="ДА"),(IF($A57=1,IF(OR(AND($E57=1,'Ответы учащихся'!S57=60),AND($E57=2,'Ответы учащихся'!S57=40),AND($E57=3,'Ответы учащихся'!S57=30),AND($E57=4,'Ответы учащихся'!S57=18)),1,IF('Ответы учащихся'!S57="N",'Ответы учащихся'!S57,0)),"")),"")</f>
        <v/>
      </c>
      <c r="U57" s="102" t="str">
        <f>IF(AND(OR($C57&lt;&gt;"",$D57&lt;&gt;""),$A57=1,$AI$2="ДА"),(IF($A57=1,IF(OR(AND($E57=1,'Ответы учащихся'!T57=3),AND($E57=2,'Ответы учащихся'!T57=4),AND($E57=3,'Ответы учащихся'!T57=2),AND($E57=4,'Ответы учащихся'!T57=3)),1,IF('Ответы учащихся'!T57="N",'Ответы учащихся'!T57,0)),"")),"")</f>
        <v/>
      </c>
      <c r="V57" s="102" t="str">
        <f>IF(AND(OR($C57&lt;&gt;"",$D57&lt;&gt;""),$A57=1,$AI$2="ДА"),(IF($A57=1,IF(OR(AND($E57=1,'Ответы учащихся'!U57=11),AND($E57=2,'Ответы учащихся'!U57=14),AND($E57=3,'Ответы учащихся'!U57=-2),AND($E57=4,'Ответы учащихся'!U57=25)),1,IF('Ответы учащихся'!U57="N",'Ответы учащихся'!U57,0)),"")),"")</f>
        <v/>
      </c>
      <c r="W57" s="102" t="str">
        <f>IF(AND(OR($C57&lt;&gt;"",$D57&lt;&gt;""),$A57=1,$AI$2="ДА"),(IF($A57=1,IF(OR(AND($E57=1,'Ответы учащихся'!V57=3000),AND($E57=2,'Ответы учащихся'!V57=2500),AND($E57=3,'Ответы учащихся'!V57=1500),AND($E57=4,'Ответы учащихся'!V57=1500)),1,IF('Ответы учащихся'!V57="N",'Ответы учащихся'!V57,0)),"")),"")</f>
        <v/>
      </c>
      <c r="X57" s="102"/>
      <c r="Y57" s="102" t="str">
        <f>IF(AND(OR($C57&lt;&gt;"",$D57&lt;&gt;""),$A57=1,$AI$2="ДА"),(IF($A57=1,IF(AND('Ответы учащихся'!$W57&lt;&gt;"N",'Ответы учащихся'!$X57&lt;&gt;"N",'Ответы учащихся'!$Y57&lt;&gt;"N",'Ответы учащихся'!$Z57&lt;&gt;"N",'Ответы учащихся'!$AA57&lt;&gt;"N"),(SUM('Ответы учащихся'!$W57:$AA57)),"N"),"")),"")</f>
        <v/>
      </c>
      <c r="Z57" s="102"/>
      <c r="AA57" s="102" t="str">
        <f>IF(AND(OR($C57&lt;&gt;"",$D57&lt;&gt;""),$A57=1,$AI$2="ДА"),(IF($A57=1,IF(AND('Ответы учащихся'!$AB57&lt;&gt;"N",'Ответы учащихся'!$AC57&lt;&gt;"N",'Ответы учащихся'!$AD57&lt;&gt;"N",'Ответы учащихся'!$AE57&lt;&gt;"N"),(SUM('Ответы учащихся'!$AB57:$AE57)),"N"),"")),"")</f>
        <v/>
      </c>
      <c r="AB57" s="289" t="str">
        <f>IF(AND(OR($C57&lt;&gt;"",$D57&lt;&gt;""),$A57=1,$AI$2="ДА"),(IF($A57=1,IF(AND('Ответы учащихся'!$AF57&lt;&gt;"N",'Ответы учащихся'!$AG57&lt;&gt;"N",'Ответы учащихся'!$AH57&lt;&gt;"N",'Ответы учащихся'!$AI57&lt;&gt;"N"),(SUM('Ответы учащихся'!$AF57:$AI57)),"N"),"")),"")</f>
        <v/>
      </c>
      <c r="AC57" s="468" t="str">
        <f t="shared" si="6"/>
        <v/>
      </c>
      <c r="AD57" s="326" t="str">
        <f t="shared" si="7"/>
        <v/>
      </c>
      <c r="AE57" s="327" t="str">
        <f t="shared" si="8"/>
        <v/>
      </c>
      <c r="AF57" s="328" t="str">
        <f t="shared" si="9"/>
        <v/>
      </c>
      <c r="AG57" s="327" t="str">
        <f t="shared" si="10"/>
        <v/>
      </c>
      <c r="AH57" s="329" t="str">
        <f t="shared" si="11"/>
        <v/>
      </c>
      <c r="AI57" s="456" t="str">
        <f t="shared" si="12"/>
        <v/>
      </c>
      <c r="AJ57" s="446">
        <f t="shared" si="13"/>
        <v>16.614705882352936</v>
      </c>
      <c r="AK57" s="447">
        <f t="shared" si="14"/>
        <v>0.69227941176470575</v>
      </c>
      <c r="AL57" s="445">
        <v>9</v>
      </c>
      <c r="AM57" s="446">
        <f t="shared" si="15"/>
        <v>77.287581699346404</v>
      </c>
      <c r="AN57" s="442" t="str">
        <f>IF($A57=1,IF(OR(AND($E57=1,'Ответы учащихся'!W57=0.4),AND($E57=2,'Ответы учащихся'!W57=0.4),AND($E57=3,'Ответы учащихся'!W57=0.4),AND($E57=4,'Ответы учащихся'!W57=0.4)),1,IF('Ответы учащихся'!W57="N",'Ответы учащихся'!W57,0)),"")</f>
        <v/>
      </c>
      <c r="AO57" s="434" t="str">
        <f>IF($A57=1,IF(OR(AND($E57=1,'Ответы учащихся'!X57=0.4),AND($E57=2,'Ответы учащихся'!X57=0.4),AND($E57=3,'Ответы учащихся'!X57=0.4),AND($E57=4,'Ответы учащихся'!X57=0.4)),1,IF('Ответы учащихся'!X57="N",'Ответы учащихся'!X57,0)),"")</f>
        <v/>
      </c>
      <c r="AP57" s="434" t="str">
        <f>IF($A57=1,IF(OR(AND($E57=1,'Ответы учащихся'!Y57=0.4),AND($E57=2,'Ответы учащихся'!Y57=0.4),AND($E57=3,'Ответы учащихся'!Y57=0.4),AND($E57=4,'Ответы учащихся'!Y57=0.4)),1,IF('Ответы учащихся'!Y57="N",'Ответы учащихся'!Y57,0)),"")</f>
        <v/>
      </c>
      <c r="AQ57" s="434" t="str">
        <f>IF($A57=1,IF(OR(AND($E57=1,'Ответы учащихся'!Z57=0.4),AND($E57=2,'Ответы учащихся'!Z57=0.4),AND($E57=3,'Ответы учащихся'!Z57=0.4),AND($E57=4,'Ответы учащихся'!Z57=0.4)),1,IF('Ответы учащихся'!Z57="N",'Ответы учащихся'!Z57,0)),"")</f>
        <v/>
      </c>
      <c r="AR57" s="434" t="str">
        <f>IF($A57=1,IF(OR(AND($E57=1,'Ответы учащихся'!AA57=0.4),AND($E57=2,'Ответы учащихся'!AA57=0.4),AND($E57=3,'Ответы учащихся'!AA57=0.4),AND($E57=4,'Ответы учащихся'!AA57=0.4)),1,IF('Ответы учащихся'!AA57="N",'Ответы учащихся'!AA57,0)),"")</f>
        <v/>
      </c>
      <c r="AS57" s="435" t="str">
        <f>IF($A57=1,IF(OR(AND($E57=1,'Ответы учащихся'!AB57=0.5),AND($E57=2,'Ответы учащихся'!AB57=0.5),AND($E57=3,'Ответы учащихся'!AB57=0.5),AND($E57=4,'Ответы учащихся'!AB57=0.5)),1,IF('Ответы учащихся'!AB57="N",'Ответы учащихся'!AB57,0)),"")</f>
        <v/>
      </c>
      <c r="AT57" s="435" t="str">
        <f>IF($A57=1,IF(OR(AND($E57=1,'Ответы учащихся'!AC57=0.5),AND($E57=2,'Ответы учащихся'!AC57=0.5),AND($E57=3,'Ответы учащихся'!AC57=0.5),AND($E57=4,'Ответы учащихся'!AC57=0.5)),1,IF('Ответы учащихся'!AC57="N",'Ответы учащихся'!AC57,0)),"")</f>
        <v/>
      </c>
      <c r="AU57" s="435" t="str">
        <f>IF($A57=1,IF(OR(AND($E57=1,'Ответы учащихся'!AD57=0.5),AND($E57=2,'Ответы учащихся'!AD57=0.5),AND($E57=3,'Ответы учащихся'!AD57=0.5),AND($E57=4,'Ответы учащихся'!AD57=0.5)),1,IF('Ответы учащихся'!AD57="N",'Ответы учащихся'!AD57,0)),"")</f>
        <v/>
      </c>
      <c r="AV57" s="435" t="str">
        <f>IF($A57=1,IF(OR(AND($E57=1,'Ответы учащихся'!AE57=0.5),AND($E57=2,'Ответы учащихся'!AE57=0.5),AND($E57=3,'Ответы учащихся'!AE57=0.5),AND($E57=4,'Ответы учащихся'!AE57=0.5)),1,IF('Ответы учащихся'!AE57="N",'Ответы учащихся'!AE57,0)),"")</f>
        <v/>
      </c>
      <c r="AW57" s="440" t="str">
        <f>IF($A57=1,IF(OR(AND($E57=1,'Ответы учащихся'!AF57=0.5),AND($E57=2,'Ответы учащихся'!AF57=0.5),AND($E57=3,'Ответы учащихся'!AF57=0.5),AND($E57=4,'Ответы учащихся'!AF57=0.5)),1,IF('Ответы учащихся'!AF57="N",'Ответы учащихся'!AF57,0)),"")</f>
        <v/>
      </c>
      <c r="AX57" s="440" t="str">
        <f>IF($A57=1,IF(OR(AND($E57=1,'Ответы учащихся'!AG57=0.5),AND($E57=2,'Ответы учащихся'!AG57=0.5),AND($E57=3,'Ответы учащихся'!AG57=0.5),AND($E57=4,'Ответы учащихся'!AG57=0.5)),1,IF('Ответы учащихся'!AG57="N",'Ответы учащихся'!AG57,0)),"")</f>
        <v/>
      </c>
      <c r="AY57" s="440" t="str">
        <f>IF($A57=1,IF(OR(AND($E57=1,'Ответы учащихся'!AH57=0.5),AND($E57=2,'Ответы учащихся'!AH57=0.5),AND($E57=3,'Ответы учащихся'!AH57=0.5),AND($E57=4,'Ответы учащихся'!AH57=0.5)),1,IF('Ответы учащихся'!AH57="N",'Ответы учащихся'!AH57,0)),"")</f>
        <v/>
      </c>
      <c r="AZ57" s="440" t="str">
        <f>IF($A57=1,IF(OR(AND($E57=1,'Ответы учащихся'!AI57=0.5),AND($E57=2,'Ответы учащихся'!AI57=0.5),AND($E57=3,'Ответы учащихся'!AI57=0.5),AND($E57=4,'Ответы учащихся'!AI57=0.5)),1,IF('Ответы учащихся'!AI57="N",'Ответы учащихся'!AI57,0)),"")</f>
        <v/>
      </c>
      <c r="BA57" s="429"/>
      <c r="BB57" s="429"/>
      <c r="BC57" s="429"/>
      <c r="BD57" s="429"/>
      <c r="BE57" s="419"/>
      <c r="BF57" s="419"/>
      <c r="BG57" s="6"/>
      <c r="BH57" s="6"/>
      <c r="BI57" s="6"/>
      <c r="BJ57" s="6"/>
    </row>
    <row r="58" spans="1:90" ht="12.75" customHeight="1" x14ac:dyDescent="0.2">
      <c r="A58" s="12">
        <f>IF('СПИСОК КЛАССА'!J58&gt;0,1,0)</f>
        <v>0</v>
      </c>
      <c r="B58" s="100">
        <v>39</v>
      </c>
      <c r="C58" s="101" t="str">
        <f>IF(NOT(ISBLANK('СПИСОК КЛАССА'!C58)),'СПИСОК КЛАССА'!C58,"")</f>
        <v/>
      </c>
      <c r="D58" s="134" t="str">
        <f>IF(NOT(ISBLANK('СПИСОК КЛАССА'!D58)),IF($A58=1,'СПИСОК КЛАССА'!D58, "УЧЕНИК НЕ ВЫПОЛНЯЛ РАБОТУ"),"")</f>
        <v/>
      </c>
      <c r="E58" s="460" t="str">
        <f>IF($C58&lt;&gt;"",'СПИСОК КЛАССА'!J58,"")</f>
        <v/>
      </c>
      <c r="F58" s="133" t="str">
        <f>IF(AND(OR($C58&lt;&gt;"",$D58&lt;&gt;""),$A58=1,$AI$2="ДА"),'Ответы учащихся'!E58,"")</f>
        <v/>
      </c>
      <c r="G58" s="102" t="str">
        <f>IF(AND(OR($C58&lt;&gt;"",$D58&lt;&gt;""),$A58=1,$AI$2="ДА"),(IF($A58=1,IF(OR(AND($E58=1,'Ответы учащихся'!F58=2),AND($E58=2,'Ответы учащихся'!F58=4),AND($E58=3,OR('Ответы учащихся'!F58=3,'Ответы учащихся'!F58=4)),AND($E58=4,'Ответы учащихся'!F58=1)),1,IF('Ответы учащихся'!F58="N",'Ответы учащихся'!F58,0)),"")),"")</f>
        <v/>
      </c>
      <c r="H58" s="102" t="str">
        <f>IF(AND(OR($C58&lt;&gt;"",$D58&lt;&gt;""),$A58=1,$AI$2="ДА"),(IF($A58=1,IF(OR(AND($E58=1,'Ответы учащихся'!G58=1),AND($E58=2,'Ответы учащихся'!G58=3),AND($E58=3,'Ответы учащихся'!G58=3),AND($E58=4,'Ответы учащихся'!G58=3)),1,IF('Ответы учащихся'!G58="N",'Ответы учащихся'!G58,0)),"")),"")</f>
        <v/>
      </c>
      <c r="I58" s="102" t="str">
        <f>IF(AND(OR($C58&lt;&gt;"",$D58&lt;&gt;""),$A58=1,$AI$2="ДА"),(IF($A58=1,IF(OR(AND($E58=1,'Ответы учащихся'!H58=-6),AND($E58=2,'Ответы учащихся'!H58=3),AND($E58=3,'Ответы учащихся'!H58=-8),AND($E58=4,'Ответы учащихся'!H58=-6)),1,IF('Ответы учащихся'!H58="N",'Ответы учащихся'!H58,0)),"")),"")</f>
        <v/>
      </c>
      <c r="J58" s="102" t="str">
        <f>IF(AND(OR($C58&lt;&gt;"",$D58&lt;&gt;""),$A58=1,$AI$2="ДА"),(IF($A58=1,IF(OR(AND($E58=1,'Ответы учащихся'!I58=3412),AND($E58=2,'Ответы учащихся'!I58=2314),AND($E58=3,'Ответы учащихся'!I58=3142),AND($E58=4,'Ответы учащихся'!I58=1234)),1,IF('Ответы учащихся'!I58="N",'Ответы учащихся'!I58,0)),"")),"")</f>
        <v/>
      </c>
      <c r="K58" s="102" t="str">
        <f>IF(AND(OR($C58&lt;&gt;"",$D58&lt;&gt;""),$A58=1,$AI$2="ДА"),(IF($A58=1,IF(OR(AND($E58=1,'Ответы учащихся'!J58=390),AND($E58=2,'Ответы учащихся'!J58=273),AND($E58=3,'Ответы учащихся'!J58=205),AND($E58=4,'Ответы учащихся'!J58=240)),1,IF('Ответы учащихся'!J58="N",'Ответы учащихся'!J58,0)),"")),"")</f>
        <v/>
      </c>
      <c r="L58" s="102" t="str">
        <f>IF(AND(OR($C58&lt;&gt;"",$D58&lt;&gt;""),$A58=1,$AI$2="ДА"),(IF($A58=1,IF(OR(AND($E58=1,'Ответы учащихся'!K58=1),AND($E58=2,'Ответы учащихся'!K58=2),AND($E58=3,'Ответы учащихся'!K58=4),AND($E58=4,'Ответы учащихся'!K58=3)),1,IF('Ответы учащихся'!K58="N",'Ответы учащихся'!K58,0)),"")),"")</f>
        <v/>
      </c>
      <c r="M58" s="102" t="str">
        <f>IF(AND(OR($C58&lt;&gt;"",$D58&lt;&gt;""),$A58=1,$AI$2="ДА"),(IF($A58=1,IF(OR(AND($E58=1,'Ответы учащихся'!L58=3),AND($E58=2,'Ответы учащихся'!L58=1),AND($E58=3,'Ответы учащихся'!L58=4),AND($E58=4,'Ответы учащихся'!L58=2)),1,IF('Ответы учащихся'!L58="N",'Ответы учащихся'!L58,0)),"")),"")</f>
        <v/>
      </c>
      <c r="N58" s="102" t="str">
        <f>IF(AND(OR($C58&lt;&gt;"",$D58&lt;&gt;""),$A58=1,$AI$2="ДА"),'Ответы учащихся'!M58,"")</f>
        <v/>
      </c>
      <c r="O58" s="102" t="str">
        <f>IF(AND(OR($C58&lt;&gt;"",$D58&lt;&gt;""),$A58=1,$AI$2="ДА"),(IF($A58=1,IF(OR(AND($E58=1,'Ответы учащихся'!N58=3),AND($E58=2,'Ответы учащихся'!N58=2),AND($E58=3,'Ответы учащихся'!N58=4),AND($E58=4,'Ответы учащихся'!N58=1)),1,IF('Ответы учащихся'!N58="N",'Ответы учащихся'!N58,0)),"")),"")</f>
        <v/>
      </c>
      <c r="P58" s="102" t="str">
        <f>IF(AND(OR($C58&lt;&gt;"",$D58&lt;&gt;""),$A58=1,$AI$2="ДА"),(IF($A58=1,IF(OR(AND($E58=1,'Ответы учащихся'!O58="БВ"),AND($E58=2,'Ответы учащихся'!O58="АВГ"),AND($E58=3,'Ответы учащихся'!O58="БВГ"),AND($E58=4,'Ответы учащихся'!O58="АВ")),1,IF('Ответы учащихся'!O58="N",'Ответы учащихся'!O58,0)),"")),"")</f>
        <v/>
      </c>
      <c r="Q58" s="102" t="str">
        <f>IF(AND(OR($C58&lt;&gt;"",$D58&lt;&gt;""),$A58=1,$AI$2="ДА"),(IF($A58=1,IF(OR(AND($E58=1,'Ответы учащихся'!P58=2351),AND($E58=2,'Ответы учащихся'!P58=4132),AND($E58=3,'Ответы учащихся'!P58=3412),AND($E58=4,'Ответы учащихся'!P58=3125)),1,IF('Ответы учащихся'!P58="N",'Ответы учащихся'!P58,0)),"")),"")</f>
        <v/>
      </c>
      <c r="R58" s="102" t="str">
        <f>IF(AND(OR($C58&lt;&gt;"",$D58&lt;&gt;""),$A58=1,$AI$2="ДА"),(IF($A58=1,IF(OR(AND($E58=1,'Ответы учащихся'!Q58=2),AND($E58=2,'Ответы учащихся'!Q58=9),AND($E58=3,'Ответы учащихся'!Q58=5),AND($E58=4,'Ответы учащихся'!Q58=2)),1,IF('Ответы учащихся'!Q58="N",'Ответы учащихся'!Q58,0)),"")),"")</f>
        <v/>
      </c>
      <c r="S58" s="102" t="str">
        <f>IF(AND(OR($C58&lt;&gt;"",$D58&lt;&gt;""),$A58=1,$AI$2="ДА"),(IF($A58=1,IF(OR(AND($E58=1,'Ответы учащихся'!R58=35),AND($E58=2,'Ответы учащихся'!R58=74),AND($E58=3,'Ответы учащихся'!R58=72),AND($E58=4,'Ответы учащихся'!R58=66)),1,IF('Ответы учащихся'!R58="N",'Ответы учащихся'!R58,0)),"")),"")</f>
        <v/>
      </c>
      <c r="T58" s="102" t="str">
        <f>IF(AND(OR($C58&lt;&gt;"",$D58&lt;&gt;""),$A58=1,$AI$2="ДА"),(IF($A58=1,IF(OR(AND($E58=1,'Ответы учащихся'!S58=60),AND($E58=2,'Ответы учащихся'!S58=40),AND($E58=3,'Ответы учащихся'!S58=30),AND($E58=4,'Ответы учащихся'!S58=18)),1,IF('Ответы учащихся'!S58="N",'Ответы учащихся'!S58,0)),"")),"")</f>
        <v/>
      </c>
      <c r="U58" s="102" t="str">
        <f>IF(AND(OR($C58&lt;&gt;"",$D58&lt;&gt;""),$A58=1,$AI$2="ДА"),(IF($A58=1,IF(OR(AND($E58=1,'Ответы учащихся'!T58=3),AND($E58=2,'Ответы учащихся'!T58=4),AND($E58=3,'Ответы учащихся'!T58=2),AND($E58=4,'Ответы учащихся'!T58=3)),1,IF('Ответы учащихся'!T58="N",'Ответы учащихся'!T58,0)),"")),"")</f>
        <v/>
      </c>
      <c r="V58" s="102" t="str">
        <f>IF(AND(OR($C58&lt;&gt;"",$D58&lt;&gt;""),$A58=1,$AI$2="ДА"),(IF($A58=1,IF(OR(AND($E58=1,'Ответы учащихся'!U58=11),AND($E58=2,'Ответы учащихся'!U58=14),AND($E58=3,'Ответы учащихся'!U58=-2),AND($E58=4,'Ответы учащихся'!U58=25)),1,IF('Ответы учащихся'!U58="N",'Ответы учащихся'!U58,0)),"")),"")</f>
        <v/>
      </c>
      <c r="W58" s="102" t="str">
        <f>IF(AND(OR($C58&lt;&gt;"",$D58&lt;&gt;""),$A58=1,$AI$2="ДА"),(IF($A58=1,IF(OR(AND($E58=1,'Ответы учащихся'!V58=3000),AND($E58=2,'Ответы учащихся'!V58=2500),AND($E58=3,'Ответы учащихся'!V58=1500),AND($E58=4,'Ответы учащихся'!V58=1500)),1,IF('Ответы учащихся'!V58="N",'Ответы учащихся'!V58,0)),"")),"")</f>
        <v/>
      </c>
      <c r="X58" s="102"/>
      <c r="Y58" s="102" t="str">
        <f>IF(AND(OR($C58&lt;&gt;"",$D58&lt;&gt;""),$A58=1,$AI$2="ДА"),(IF($A58=1,IF(AND('Ответы учащихся'!$W58&lt;&gt;"N",'Ответы учащихся'!$X58&lt;&gt;"N",'Ответы учащихся'!$Y58&lt;&gt;"N",'Ответы учащихся'!$Z58&lt;&gt;"N",'Ответы учащихся'!$AA58&lt;&gt;"N"),(SUM('Ответы учащихся'!$W58:$AA58)),"N"),"")),"")</f>
        <v/>
      </c>
      <c r="Z58" s="102"/>
      <c r="AA58" s="102" t="str">
        <f>IF(AND(OR($C58&lt;&gt;"",$D58&lt;&gt;""),$A58=1,$AI$2="ДА"),(IF($A58=1,IF(AND('Ответы учащихся'!$AB58&lt;&gt;"N",'Ответы учащихся'!$AC58&lt;&gt;"N",'Ответы учащихся'!$AD58&lt;&gt;"N",'Ответы учащихся'!$AE58&lt;&gt;"N"),(SUM('Ответы учащихся'!$AB58:$AE58)),"N"),"")),"")</f>
        <v/>
      </c>
      <c r="AB58" s="289" t="str">
        <f>IF(AND(OR($C58&lt;&gt;"",$D58&lt;&gt;""),$A58=1,$AI$2="ДА"),(IF($A58=1,IF(AND('Ответы учащихся'!$AF58&lt;&gt;"N",'Ответы учащихся'!$AG58&lt;&gt;"N",'Ответы учащихся'!$AH58&lt;&gt;"N",'Ответы учащихся'!$AI58&lt;&gt;"N"),(SUM('Ответы учащихся'!$AF58:$AI58)),"N"),"")),"")</f>
        <v/>
      </c>
      <c r="AC58" s="468" t="str">
        <f t="shared" si="6"/>
        <v/>
      </c>
      <c r="AD58" s="326" t="str">
        <f t="shared" si="7"/>
        <v/>
      </c>
      <c r="AE58" s="327" t="str">
        <f t="shared" si="8"/>
        <v/>
      </c>
      <c r="AF58" s="328" t="str">
        <f t="shared" si="9"/>
        <v/>
      </c>
      <c r="AG58" s="327" t="str">
        <f t="shared" si="10"/>
        <v/>
      </c>
      <c r="AH58" s="329" t="str">
        <f t="shared" si="11"/>
        <v/>
      </c>
      <c r="AI58" s="456" t="str">
        <f t="shared" si="12"/>
        <v/>
      </c>
      <c r="AJ58" s="446">
        <f t="shared" si="13"/>
        <v>16.614705882352936</v>
      </c>
      <c r="AK58" s="447">
        <f t="shared" si="14"/>
        <v>0.69227941176470575</v>
      </c>
      <c r="AL58" s="445">
        <v>9</v>
      </c>
      <c r="AM58" s="446">
        <f t="shared" si="15"/>
        <v>77.287581699346404</v>
      </c>
      <c r="AN58" s="442" t="str">
        <f>IF($A58=1,IF(OR(AND($E58=1,'Ответы учащихся'!W58=0.4),AND($E58=2,'Ответы учащихся'!W58=0.4),AND($E58=3,'Ответы учащихся'!W58=0.4),AND($E58=4,'Ответы учащихся'!W58=0.4)),1,IF('Ответы учащихся'!W58="N",'Ответы учащихся'!W58,0)),"")</f>
        <v/>
      </c>
      <c r="AO58" s="434" t="str">
        <f>IF($A58=1,IF(OR(AND($E58=1,'Ответы учащихся'!X58=0.4),AND($E58=2,'Ответы учащихся'!X58=0.4),AND($E58=3,'Ответы учащихся'!X58=0.4),AND($E58=4,'Ответы учащихся'!X58=0.4)),1,IF('Ответы учащихся'!X58="N",'Ответы учащихся'!X58,0)),"")</f>
        <v/>
      </c>
      <c r="AP58" s="434" t="str">
        <f>IF($A58=1,IF(OR(AND($E58=1,'Ответы учащихся'!Y58=0.4),AND($E58=2,'Ответы учащихся'!Y58=0.4),AND($E58=3,'Ответы учащихся'!Y58=0.4),AND($E58=4,'Ответы учащихся'!Y58=0.4)),1,IF('Ответы учащихся'!Y58="N",'Ответы учащихся'!Y58,0)),"")</f>
        <v/>
      </c>
      <c r="AQ58" s="434" t="str">
        <f>IF($A58=1,IF(OR(AND($E58=1,'Ответы учащихся'!Z58=0.4),AND($E58=2,'Ответы учащихся'!Z58=0.4),AND($E58=3,'Ответы учащихся'!Z58=0.4),AND($E58=4,'Ответы учащихся'!Z58=0.4)),1,IF('Ответы учащихся'!Z58="N",'Ответы учащихся'!Z58,0)),"")</f>
        <v/>
      </c>
      <c r="AR58" s="434" t="str">
        <f>IF($A58=1,IF(OR(AND($E58=1,'Ответы учащихся'!AA58=0.4),AND($E58=2,'Ответы учащихся'!AA58=0.4),AND($E58=3,'Ответы учащихся'!AA58=0.4),AND($E58=4,'Ответы учащихся'!AA58=0.4)),1,IF('Ответы учащихся'!AA58="N",'Ответы учащихся'!AA58,0)),"")</f>
        <v/>
      </c>
      <c r="AS58" s="435" t="str">
        <f>IF($A58=1,IF(OR(AND($E58=1,'Ответы учащихся'!AB58=0.5),AND($E58=2,'Ответы учащихся'!AB58=0.5),AND($E58=3,'Ответы учащихся'!AB58=0.5),AND($E58=4,'Ответы учащихся'!AB58=0.5)),1,IF('Ответы учащихся'!AB58="N",'Ответы учащихся'!AB58,0)),"")</f>
        <v/>
      </c>
      <c r="AT58" s="435" t="str">
        <f>IF($A58=1,IF(OR(AND($E58=1,'Ответы учащихся'!AC58=0.5),AND($E58=2,'Ответы учащихся'!AC58=0.5),AND($E58=3,'Ответы учащихся'!AC58=0.5),AND($E58=4,'Ответы учащихся'!AC58=0.5)),1,IF('Ответы учащихся'!AC58="N",'Ответы учащихся'!AC58,0)),"")</f>
        <v/>
      </c>
      <c r="AU58" s="435" t="str">
        <f>IF($A58=1,IF(OR(AND($E58=1,'Ответы учащихся'!AD58=0.5),AND($E58=2,'Ответы учащихся'!AD58=0.5),AND($E58=3,'Ответы учащихся'!AD58=0.5),AND($E58=4,'Ответы учащихся'!AD58=0.5)),1,IF('Ответы учащихся'!AD58="N",'Ответы учащихся'!AD58,0)),"")</f>
        <v/>
      </c>
      <c r="AV58" s="435" t="str">
        <f>IF($A58=1,IF(OR(AND($E58=1,'Ответы учащихся'!AE58=0.5),AND($E58=2,'Ответы учащихся'!AE58=0.5),AND($E58=3,'Ответы учащихся'!AE58=0.5),AND($E58=4,'Ответы учащихся'!AE58=0.5)),1,IF('Ответы учащихся'!AE58="N",'Ответы учащихся'!AE58,0)),"")</f>
        <v/>
      </c>
      <c r="AW58" s="440" t="str">
        <f>IF($A58=1,IF(OR(AND($E58=1,'Ответы учащихся'!AF58=0.5),AND($E58=2,'Ответы учащихся'!AF58=0.5),AND($E58=3,'Ответы учащихся'!AF58=0.5),AND($E58=4,'Ответы учащихся'!AF58=0.5)),1,IF('Ответы учащихся'!AF58="N",'Ответы учащихся'!AF58,0)),"")</f>
        <v/>
      </c>
      <c r="AX58" s="440" t="str">
        <f>IF($A58=1,IF(OR(AND($E58=1,'Ответы учащихся'!AG58=0.5),AND($E58=2,'Ответы учащихся'!AG58=0.5),AND($E58=3,'Ответы учащихся'!AG58=0.5),AND($E58=4,'Ответы учащихся'!AG58=0.5)),1,IF('Ответы учащихся'!AG58="N",'Ответы учащихся'!AG58,0)),"")</f>
        <v/>
      </c>
      <c r="AY58" s="440" t="str">
        <f>IF($A58=1,IF(OR(AND($E58=1,'Ответы учащихся'!AH58=0.5),AND($E58=2,'Ответы учащихся'!AH58=0.5),AND($E58=3,'Ответы учащихся'!AH58=0.5),AND($E58=4,'Ответы учащихся'!AH58=0.5)),1,IF('Ответы учащихся'!AH58="N",'Ответы учащихся'!AH58,0)),"")</f>
        <v/>
      </c>
      <c r="AZ58" s="440" t="str">
        <f>IF($A58=1,IF(OR(AND($E58=1,'Ответы учащихся'!AI58=0.5),AND($E58=2,'Ответы учащихся'!AI58=0.5),AND($E58=3,'Ответы учащихся'!AI58=0.5),AND($E58=4,'Ответы учащихся'!AI58=0.5)),1,IF('Ответы учащихся'!AI58="N",'Ответы учащихся'!AI58,0)),"")</f>
        <v/>
      </c>
      <c r="BA58" s="429"/>
      <c r="BB58" s="429"/>
      <c r="BC58" s="429"/>
      <c r="BD58" s="429"/>
      <c r="BE58" s="419"/>
      <c r="BF58" s="419"/>
      <c r="BG58" s="6"/>
      <c r="BH58" s="6"/>
      <c r="BI58" s="6"/>
      <c r="BJ58" s="6"/>
    </row>
    <row r="59" spans="1:90" ht="12.75" customHeight="1" thickBot="1" x14ac:dyDescent="0.25">
      <c r="A59" s="151">
        <f>IF('СПИСОК КЛАССА'!J59&gt;0,1,0)</f>
        <v>0</v>
      </c>
      <c r="B59" s="152">
        <v>40</v>
      </c>
      <c r="C59" s="153" t="str">
        <f>IF(NOT(ISBLANK('СПИСОК КЛАССА'!C59)),'СПИСОК КЛАССА'!C59,"")</f>
        <v/>
      </c>
      <c r="D59" s="155" t="str">
        <f>IF(NOT(ISBLANK('СПИСОК КЛАССА'!D59)),IF($A59=1,'СПИСОК КЛАССА'!D59, "УЧЕНИК НЕ ВЫПОЛНЯЛ РАБОТУ"),"")</f>
        <v/>
      </c>
      <c r="E59" s="461" t="str">
        <f>IF($C59&lt;&gt;"",'СПИСОК КЛАССА'!J59,"")</f>
        <v/>
      </c>
      <c r="F59" s="322" t="str">
        <f>IF(AND(OR($C59&lt;&gt;"",$D59&lt;&gt;""),$A59=1,$AI$2="ДА"),'Ответы учащихся'!E59,"")</f>
        <v/>
      </c>
      <c r="G59" s="135" t="str">
        <f>IF(AND(OR($C59&lt;&gt;"",$D59&lt;&gt;""),$A59=1,$AI$2="ДА"),(IF($A59=1,IF(OR(AND($E59=1,'Ответы учащихся'!F59=2),AND($E59=2,'Ответы учащихся'!F59=4),AND($E59=3,OR('Ответы учащихся'!F59=3,'Ответы учащихся'!F59=4)),AND($E59=4,'Ответы учащихся'!F59=1)),1,IF('Ответы учащихся'!F59="N",'Ответы учащихся'!F59,0)),"")),"")</f>
        <v/>
      </c>
      <c r="H59" s="135" t="str">
        <f>IF(AND(OR($C59&lt;&gt;"",$D59&lt;&gt;""),$A59=1,$AI$2="ДА"),(IF($A59=1,IF(OR(AND($E59=1,'Ответы учащихся'!G59=1),AND($E59=2,'Ответы учащихся'!G59=3),AND($E59=3,'Ответы учащихся'!G59=3),AND($E59=4,'Ответы учащихся'!G59=3)),1,IF('Ответы учащихся'!G59="N",'Ответы учащихся'!G59,0)),"")),"")</f>
        <v/>
      </c>
      <c r="I59" s="135" t="str">
        <f>IF(AND(OR($C59&lt;&gt;"",$D59&lt;&gt;""),$A59=1,$AI$2="ДА"),(IF($A59=1,IF(OR(AND($E59=1,'Ответы учащихся'!H59=-6),AND($E59=2,'Ответы учащихся'!H59=3),AND($E59=3,'Ответы учащихся'!H59=-8),AND($E59=4,'Ответы учащихся'!H59=-6)),1,IF('Ответы учащихся'!H59="N",'Ответы учащихся'!H59,0)),"")),"")</f>
        <v/>
      </c>
      <c r="J59" s="135" t="str">
        <f>IF(AND(OR($C59&lt;&gt;"",$D59&lt;&gt;""),$A59=1,$AI$2="ДА"),(IF($A59=1,IF(OR(AND($E59=1,'Ответы учащихся'!I59=3412),AND($E59=2,'Ответы учащихся'!I59=2314),AND($E59=3,'Ответы учащихся'!I59=3142),AND($E59=4,'Ответы учащихся'!I59=1234)),1,IF('Ответы учащихся'!I59="N",'Ответы учащихся'!I59,0)),"")),"")</f>
        <v/>
      </c>
      <c r="K59" s="135" t="str">
        <f>IF(AND(OR($C59&lt;&gt;"",$D59&lt;&gt;""),$A59=1,$AI$2="ДА"),(IF($A59=1,IF(OR(AND($E59=1,'Ответы учащихся'!J59=390),AND($E59=2,'Ответы учащихся'!J59=273),AND($E59=3,'Ответы учащихся'!J59=205),AND($E59=4,'Ответы учащихся'!J59=240)),1,IF('Ответы учащихся'!J59="N",'Ответы учащихся'!J59,0)),"")),"")</f>
        <v/>
      </c>
      <c r="L59" s="135" t="str">
        <f>IF(AND(OR($C59&lt;&gt;"",$D59&lt;&gt;""),$A59=1,$AI$2="ДА"),(IF($A59=1,IF(OR(AND($E59=1,'Ответы учащихся'!K59=1),AND($E59=2,'Ответы учащихся'!K59=2),AND($E59=3,'Ответы учащихся'!K59=4),AND($E59=4,'Ответы учащихся'!K59=3)),1,IF('Ответы учащихся'!K59="N",'Ответы учащихся'!K59,0)),"")),"")</f>
        <v/>
      </c>
      <c r="M59" s="135" t="str">
        <f>IF(AND(OR($C59&lt;&gt;"",$D59&lt;&gt;""),$A59=1,$AI$2="ДА"),(IF($A59=1,IF(OR(AND($E59=1,'Ответы учащихся'!L59=3),AND($E59=2,'Ответы учащихся'!L59=1),AND($E59=3,'Ответы учащихся'!L59=4),AND($E59=4,'Ответы учащихся'!L59=2)),1,IF('Ответы учащихся'!L59="N",'Ответы учащихся'!L59,0)),"")),"")</f>
        <v/>
      </c>
      <c r="N59" s="135" t="str">
        <f>IF(AND(OR($C59&lt;&gt;"",$D59&lt;&gt;""),$A59=1,$AI$2="ДА"),'Ответы учащихся'!M59,"")</f>
        <v/>
      </c>
      <c r="O59" s="135" t="str">
        <f>IF(AND(OR($C59&lt;&gt;"",$D59&lt;&gt;""),$A59=1,$AI$2="ДА"),(IF($A59=1,IF(OR(AND($E59=1,'Ответы учащихся'!N59=3),AND($E59=2,'Ответы учащихся'!N59=2),AND($E59=3,'Ответы учащихся'!N59=4),AND($E59=4,'Ответы учащихся'!N59=1)),1,IF('Ответы учащихся'!N59="N",'Ответы учащихся'!N59,0)),"")),"")</f>
        <v/>
      </c>
      <c r="P59" s="135" t="str">
        <f>IF(AND(OR($C59&lt;&gt;"",$D59&lt;&gt;""),$A59=1,$AI$2="ДА"),(IF($A59=1,IF(OR(AND($E59=1,'Ответы учащихся'!O59="БВ"),AND($E59=2,'Ответы учащихся'!O59="АВГ"),AND($E59=3,'Ответы учащихся'!O59="БВГ"),AND($E59=4,'Ответы учащихся'!O59="АВ")),1,IF('Ответы учащихся'!O59="N",'Ответы учащихся'!O59,0)),"")),"")</f>
        <v/>
      </c>
      <c r="Q59" s="135" t="str">
        <f>IF(AND(OR($C59&lt;&gt;"",$D59&lt;&gt;""),$A59=1,$AI$2="ДА"),(IF($A59=1,IF(OR(AND($E59=1,'Ответы учащихся'!P59=2351),AND($E59=2,'Ответы учащихся'!P59=4132),AND($E59=3,'Ответы учащихся'!P59=3412),AND($E59=4,'Ответы учащихся'!P59=3125)),1,IF('Ответы учащихся'!P59="N",'Ответы учащихся'!P59,0)),"")),"")</f>
        <v/>
      </c>
      <c r="R59" s="135" t="str">
        <f>IF(AND(OR($C59&lt;&gt;"",$D59&lt;&gt;""),$A59=1,$AI$2="ДА"),(IF($A59=1,IF(OR(AND($E59=1,'Ответы учащихся'!Q59=2),AND($E59=2,'Ответы учащихся'!Q59=9),AND($E59=3,'Ответы учащихся'!Q59=5),AND($E59=4,'Ответы учащихся'!Q59=2)),1,IF('Ответы учащихся'!Q59="N",'Ответы учащихся'!Q59,0)),"")),"")</f>
        <v/>
      </c>
      <c r="S59" s="135" t="str">
        <f>IF(AND(OR($C59&lt;&gt;"",$D59&lt;&gt;""),$A59=1,$AI$2="ДА"),(IF($A59=1,IF(OR(AND($E59=1,'Ответы учащихся'!R59=35),AND($E59=2,'Ответы учащихся'!R59=74),AND($E59=3,'Ответы учащихся'!R59=72),AND($E59=4,'Ответы учащихся'!R59=66)),1,IF('Ответы учащихся'!R59="N",'Ответы учащихся'!R59,0)),"")),"")</f>
        <v/>
      </c>
      <c r="T59" s="135" t="str">
        <f>IF(AND(OR($C59&lt;&gt;"",$D59&lt;&gt;""),$A59=1,$AI$2="ДА"),(IF($A59=1,IF(OR(AND($E59=1,'Ответы учащихся'!S59=60),AND($E59=2,'Ответы учащихся'!S59=40),AND($E59=3,'Ответы учащихся'!S59=30),AND($E59=4,'Ответы учащихся'!S59=18)),1,IF('Ответы учащихся'!S59="N",'Ответы учащихся'!S59,0)),"")),"")</f>
        <v/>
      </c>
      <c r="U59" s="135" t="str">
        <f>IF(AND(OR($C59&lt;&gt;"",$D59&lt;&gt;""),$A59=1,$AI$2="ДА"),(IF($A59=1,IF(OR(AND($E59=1,'Ответы учащихся'!T59=3),AND($E59=2,'Ответы учащихся'!T59=4),AND($E59=3,'Ответы учащихся'!T59=2),AND($E59=4,'Ответы учащихся'!T59=3)),1,IF('Ответы учащихся'!T59="N",'Ответы учащихся'!T59,0)),"")),"")</f>
        <v/>
      </c>
      <c r="V59" s="135" t="str">
        <f>IF(AND(OR($C59&lt;&gt;"",$D59&lt;&gt;""),$A59=1,$AI$2="ДА"),(IF($A59=1,IF(OR(AND($E59=1,'Ответы учащихся'!U59=11),AND($E59=2,'Ответы учащихся'!U59=14),AND($E59=3,'Ответы учащихся'!U59=-2),AND($E59=4,'Ответы учащихся'!U59=25)),1,IF('Ответы учащихся'!U59="N",'Ответы учащихся'!U59,0)),"")),"")</f>
        <v/>
      </c>
      <c r="W59" s="135" t="str">
        <f>IF(AND(OR($C59&lt;&gt;"",$D59&lt;&gt;""),$A59=1,$AI$2="ДА"),(IF($A59=1,IF(OR(AND($E59=1,'Ответы учащихся'!V59=3000),AND($E59=2,'Ответы учащихся'!V59=2500),AND($E59=3,'Ответы учащихся'!V59=1500),AND($E59=4,'Ответы учащихся'!V59=1500)),1,IF('Ответы учащихся'!V59="N",'Ответы учащихся'!V59,0)),"")),"")</f>
        <v/>
      </c>
      <c r="X59" s="135"/>
      <c r="Y59" s="135" t="str">
        <f>IF(AND(OR($C59&lt;&gt;"",$D59&lt;&gt;""),$A59=1,$AI$2="ДА"),(IF($A59=1,IF(AND('Ответы учащихся'!$W59&lt;&gt;"N",'Ответы учащихся'!$X59&lt;&gt;"N",'Ответы учащихся'!$Y59&lt;&gt;"N",'Ответы учащихся'!$Z59&lt;&gt;"N",'Ответы учащихся'!$AA59&lt;&gt;"N"),(SUM('Ответы учащихся'!$W59:$AA59)),"N"),"")),"")</f>
        <v/>
      </c>
      <c r="Z59" s="135"/>
      <c r="AA59" s="135" t="str">
        <f>IF(AND(OR($C59&lt;&gt;"",$D59&lt;&gt;""),$A59=1,$AI$2="ДА"),(IF($A59=1,IF(AND('Ответы учащихся'!$AB59&lt;&gt;"N",'Ответы учащихся'!$AC59&lt;&gt;"N",'Ответы учащихся'!$AD59&lt;&gt;"N",'Ответы учащихся'!$AE59&lt;&gt;"N"),(SUM('Ответы учащихся'!$AB59:$AE59)),"N"),"")),"")</f>
        <v/>
      </c>
      <c r="AB59" s="290" t="str">
        <f>IF(AND(OR($C59&lt;&gt;"",$D59&lt;&gt;""),$A59=1,$AI$2="ДА"),(IF($A59=1,IF(AND('Ответы учащихся'!$AF59&lt;&gt;"N",'Ответы учащихся'!$AG59&lt;&gt;"N",'Ответы учащихся'!$AH59&lt;&gt;"N",'Ответы учащихся'!$AI59&lt;&gt;"N"),(SUM('Ответы учащихся'!$AF59:$AI59)),"N"),"")),"")</f>
        <v/>
      </c>
      <c r="AC59" s="468" t="str">
        <f t="shared" si="6"/>
        <v/>
      </c>
      <c r="AD59" s="326" t="str">
        <f t="shared" si="7"/>
        <v/>
      </c>
      <c r="AE59" s="327" t="str">
        <f t="shared" si="8"/>
        <v/>
      </c>
      <c r="AF59" s="328" t="str">
        <f t="shared" si="9"/>
        <v/>
      </c>
      <c r="AG59" s="327" t="str">
        <f t="shared" si="10"/>
        <v/>
      </c>
      <c r="AH59" s="329" t="str">
        <f t="shared" si="11"/>
        <v/>
      </c>
      <c r="AI59" s="456" t="str">
        <f t="shared" si="12"/>
        <v/>
      </c>
      <c r="AJ59" s="446">
        <f t="shared" si="13"/>
        <v>16.614705882352936</v>
      </c>
      <c r="AK59" s="447">
        <f t="shared" si="14"/>
        <v>0.69227941176470575</v>
      </c>
      <c r="AL59" s="445">
        <v>9</v>
      </c>
      <c r="AM59" s="446">
        <f t="shared" si="15"/>
        <v>77.287581699346404</v>
      </c>
      <c r="AN59" s="442" t="str">
        <f>IF($A59=1,IF(OR(AND($E59=1,'Ответы учащихся'!W59=0.4),AND($E59=2,'Ответы учащихся'!W59=0.4),AND($E59=3,'Ответы учащихся'!W59=0.4),AND($E59=4,'Ответы учащихся'!W59=0.4)),1,IF('Ответы учащихся'!W59="N",'Ответы учащихся'!W59,0)),"")</f>
        <v/>
      </c>
      <c r="AO59" s="434" t="str">
        <f>IF($A59=1,IF(OR(AND($E59=1,'Ответы учащихся'!X59=0.4),AND($E59=2,'Ответы учащихся'!X59=0.4),AND($E59=3,'Ответы учащихся'!X59=0.4),AND($E59=4,'Ответы учащихся'!X59=0.4)),1,IF('Ответы учащихся'!X59="N",'Ответы учащихся'!X59,0)),"")</f>
        <v/>
      </c>
      <c r="AP59" s="434" t="str">
        <f>IF($A59=1,IF(OR(AND($E59=1,'Ответы учащихся'!Y59=0.4),AND($E59=2,'Ответы учащихся'!Y59=0.4),AND($E59=3,'Ответы учащихся'!Y59=0.4),AND($E59=4,'Ответы учащихся'!Y59=0.4)),1,IF('Ответы учащихся'!Y59="N",'Ответы учащихся'!Y59,0)),"")</f>
        <v/>
      </c>
      <c r="AQ59" s="434" t="str">
        <f>IF($A59=1,IF(OR(AND($E59=1,'Ответы учащихся'!Z59=0.4),AND($E59=2,'Ответы учащихся'!Z59=0.4),AND($E59=3,'Ответы учащихся'!Z59=0.4),AND($E59=4,'Ответы учащихся'!Z59=0.4)),1,IF('Ответы учащихся'!Z59="N",'Ответы учащихся'!Z59,0)),"")</f>
        <v/>
      </c>
      <c r="AR59" s="434" t="str">
        <f>IF($A59=1,IF(OR(AND($E59=1,'Ответы учащихся'!AA59=0.4),AND($E59=2,'Ответы учащихся'!AA59=0.4),AND($E59=3,'Ответы учащихся'!AA59=0.4),AND($E59=4,'Ответы учащихся'!AA59=0.4)),1,IF('Ответы учащихся'!AA59="N",'Ответы учащихся'!AA59,0)),"")</f>
        <v/>
      </c>
      <c r="AS59" s="435" t="str">
        <f>IF($A59=1,IF(OR(AND($E59=1,'Ответы учащихся'!AB59=0.5),AND($E59=2,'Ответы учащихся'!AB59=0.5),AND($E59=3,'Ответы учащихся'!AB59=0.5),AND($E59=4,'Ответы учащихся'!AB59=0.5)),1,IF('Ответы учащихся'!AB59="N",'Ответы учащихся'!AB59,0)),"")</f>
        <v/>
      </c>
      <c r="AT59" s="435" t="str">
        <f>IF($A59=1,IF(OR(AND($E59=1,'Ответы учащихся'!AC59=0.5),AND($E59=2,'Ответы учащихся'!AC59=0.5),AND($E59=3,'Ответы учащихся'!AC59=0.5),AND($E59=4,'Ответы учащихся'!AC59=0.5)),1,IF('Ответы учащихся'!AC59="N",'Ответы учащихся'!AC59,0)),"")</f>
        <v/>
      </c>
      <c r="AU59" s="435" t="str">
        <f>IF($A59=1,IF(OR(AND($E59=1,'Ответы учащихся'!AD59=0.5),AND($E59=2,'Ответы учащихся'!AD59=0.5),AND($E59=3,'Ответы учащихся'!AD59=0.5),AND($E59=4,'Ответы учащихся'!AD59=0.5)),1,IF('Ответы учащихся'!AD59="N",'Ответы учащихся'!AD59,0)),"")</f>
        <v/>
      </c>
      <c r="AV59" s="435" t="str">
        <f>IF($A59=1,IF(OR(AND($E59=1,'Ответы учащихся'!AE59=0.5),AND($E59=2,'Ответы учащихся'!AE59=0.5),AND($E59=3,'Ответы учащихся'!AE59=0.5),AND($E59=4,'Ответы учащихся'!AE59=0.5)),1,IF('Ответы учащихся'!AE59="N",'Ответы учащихся'!AE59,0)),"")</f>
        <v/>
      </c>
      <c r="AW59" s="440" t="str">
        <f>IF($A59=1,IF(OR(AND($E59=1,'Ответы учащихся'!AF59=0.5),AND($E59=2,'Ответы учащихся'!AF59=0.5),AND($E59=3,'Ответы учащихся'!AF59=0.5),AND($E59=4,'Ответы учащихся'!AF59=0.5)),1,IF('Ответы учащихся'!AF59="N",'Ответы учащихся'!AF59,0)),"")</f>
        <v/>
      </c>
      <c r="AX59" s="440" t="str">
        <f>IF($A59=1,IF(OR(AND($E59=1,'Ответы учащихся'!AG59=0.5),AND($E59=2,'Ответы учащихся'!AG59=0.5),AND($E59=3,'Ответы учащихся'!AG59=0.5),AND($E59=4,'Ответы учащихся'!AG59=0.5)),1,IF('Ответы учащихся'!AG59="N",'Ответы учащихся'!AG59,0)),"")</f>
        <v/>
      </c>
      <c r="AY59" s="440" t="str">
        <f>IF($A59=1,IF(OR(AND($E59=1,'Ответы учащихся'!AH59=0.5),AND($E59=2,'Ответы учащихся'!AH59=0.5),AND($E59=3,'Ответы учащихся'!AH59=0.5),AND($E59=4,'Ответы учащихся'!AH59=0.5)),1,IF('Ответы учащихся'!AH59="N",'Ответы учащихся'!AH59,0)),"")</f>
        <v/>
      </c>
      <c r="AZ59" s="440" t="str">
        <f>IF($A59=1,IF(OR(AND($E59=1,'Ответы учащихся'!AI59=0.5),AND($E59=2,'Ответы учащихся'!AI59=0.5),AND($E59=3,'Ответы учащихся'!AI59=0.5),AND($E59=4,'Ответы учащихся'!AI59=0.5)),1,IF('Ответы учащихся'!AI59="N",'Ответы учащихся'!AI59,0)),"")</f>
        <v/>
      </c>
      <c r="BA59" s="429"/>
      <c r="BB59" s="429"/>
      <c r="BC59" s="429"/>
      <c r="BD59" s="429"/>
      <c r="BE59" s="419"/>
      <c r="BF59" s="419"/>
      <c r="BG59" s="6"/>
      <c r="BH59" s="6"/>
      <c r="BI59" s="6"/>
      <c r="BJ59" s="6"/>
    </row>
    <row r="60" spans="1:90"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445"/>
      <c r="AK60" s="445"/>
      <c r="AL60" s="445"/>
      <c r="AM60" s="445"/>
      <c r="AN60" s="419"/>
      <c r="AO60" s="419"/>
      <c r="AP60" s="419"/>
      <c r="AQ60" s="419"/>
      <c r="AR60" s="419"/>
      <c r="AS60" s="419"/>
      <c r="AT60" s="419"/>
      <c r="AU60" s="419"/>
      <c r="AV60" s="419"/>
      <c r="AW60" s="419"/>
      <c r="AX60" s="419"/>
      <c r="AY60" s="419"/>
      <c r="AZ60" s="419"/>
      <c r="BA60" s="419"/>
      <c r="BB60" s="419"/>
      <c r="BC60" s="419"/>
      <c r="BD60" s="419"/>
      <c r="BE60" s="419"/>
      <c r="BF60" s="419"/>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row>
    <row r="61" spans="1:90"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445"/>
      <c r="AK61" s="445"/>
      <c r="AL61" s="445"/>
      <c r="AM61" s="445"/>
      <c r="AN61" s="419"/>
      <c r="AO61" s="419"/>
      <c r="AP61" s="419"/>
      <c r="AQ61" s="419"/>
      <c r="AR61" s="419"/>
      <c r="AS61" s="419"/>
      <c r="AT61" s="419"/>
      <c r="AU61" s="419"/>
      <c r="AV61" s="419"/>
      <c r="AW61" s="419"/>
      <c r="AX61" s="419"/>
      <c r="AY61" s="419"/>
      <c r="AZ61" s="419"/>
      <c r="BA61" s="419"/>
      <c r="BB61" s="419"/>
      <c r="BC61" s="419"/>
      <c r="BD61" s="419"/>
      <c r="BE61" s="419"/>
      <c r="BF61" s="419"/>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row>
    <row r="62" spans="1:90"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445"/>
      <c r="AK62" s="445"/>
      <c r="AL62" s="445"/>
      <c r="AM62" s="445"/>
      <c r="AN62" s="419"/>
      <c r="AO62" s="419"/>
      <c r="AP62" s="419"/>
      <c r="AQ62" s="419"/>
      <c r="AR62" s="419"/>
      <c r="AS62" s="419"/>
      <c r="AT62" s="419"/>
      <c r="AU62" s="419"/>
      <c r="AV62" s="419"/>
      <c r="AW62" s="419"/>
      <c r="AX62" s="419"/>
      <c r="AY62" s="419"/>
      <c r="AZ62" s="419"/>
      <c r="BA62" s="419"/>
      <c r="BB62" s="419"/>
      <c r="BC62" s="419"/>
      <c r="BD62" s="419"/>
      <c r="BE62" s="419"/>
      <c r="BF62" s="419"/>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row>
    <row r="63" spans="1:90"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445"/>
      <c r="AK63" s="445"/>
      <c r="AL63" s="445"/>
      <c r="AM63" s="445"/>
      <c r="AN63" s="419"/>
      <c r="AO63" s="419"/>
      <c r="AP63" s="419"/>
      <c r="AQ63" s="419"/>
      <c r="AR63" s="419"/>
      <c r="AS63" s="419"/>
      <c r="AT63" s="419"/>
      <c r="AU63" s="419"/>
      <c r="AV63" s="419"/>
      <c r="AW63" s="419"/>
      <c r="AX63" s="419"/>
      <c r="AY63" s="419"/>
      <c r="AZ63" s="419"/>
      <c r="BA63" s="419"/>
      <c r="BB63" s="419"/>
      <c r="BC63" s="419"/>
      <c r="BD63" s="419"/>
      <c r="BE63" s="419"/>
      <c r="BF63" s="419"/>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row>
    <row r="64" spans="1:90"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445"/>
      <c r="AK64" s="445"/>
      <c r="AL64" s="445"/>
      <c r="AM64" s="445"/>
      <c r="AN64" s="419"/>
      <c r="AO64" s="419"/>
      <c r="AP64" s="419"/>
      <c r="AQ64" s="419"/>
      <c r="AR64" s="419"/>
      <c r="AS64" s="419"/>
      <c r="AT64" s="419"/>
      <c r="AU64" s="419"/>
      <c r="AV64" s="419"/>
      <c r="AW64" s="419"/>
      <c r="AX64" s="419"/>
      <c r="AY64" s="419"/>
      <c r="AZ64" s="419"/>
      <c r="BA64" s="419"/>
      <c r="BB64" s="419"/>
      <c r="BC64" s="419"/>
      <c r="BD64" s="419"/>
      <c r="BE64" s="419"/>
      <c r="BF64" s="419"/>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row>
    <row r="65" spans="1:90"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445"/>
      <c r="AK65" s="445"/>
      <c r="AL65" s="445"/>
      <c r="AM65" s="445"/>
      <c r="AN65" s="419"/>
      <c r="AO65" s="419"/>
      <c r="AP65" s="419"/>
      <c r="AQ65" s="419"/>
      <c r="AR65" s="419"/>
      <c r="AS65" s="419"/>
      <c r="AT65" s="419"/>
      <c r="AU65" s="419"/>
      <c r="AV65" s="419"/>
      <c r="AW65" s="419"/>
      <c r="AX65" s="419"/>
      <c r="AY65" s="419"/>
      <c r="AZ65" s="419"/>
      <c r="BA65" s="419"/>
      <c r="BB65" s="419"/>
      <c r="BC65" s="419"/>
      <c r="BD65" s="419"/>
      <c r="BE65" s="419"/>
      <c r="BF65" s="419"/>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row>
    <row r="66" spans="1:90"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445"/>
      <c r="AK66" s="445"/>
      <c r="AL66" s="445"/>
      <c r="AM66" s="445"/>
      <c r="AN66" s="419"/>
      <c r="AO66" s="419"/>
      <c r="AP66" s="419"/>
      <c r="AQ66" s="419"/>
      <c r="AR66" s="419"/>
      <c r="AS66" s="419"/>
      <c r="AT66" s="419"/>
      <c r="AU66" s="419"/>
      <c r="AV66" s="419"/>
      <c r="AW66" s="419"/>
      <c r="AX66" s="419"/>
      <c r="AY66" s="419"/>
      <c r="AZ66" s="419"/>
      <c r="BA66" s="419"/>
      <c r="BB66" s="419"/>
      <c r="BC66" s="419"/>
      <c r="BD66" s="419"/>
      <c r="BE66" s="419"/>
      <c r="BF66" s="419"/>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row>
    <row r="67" spans="1:90"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445"/>
      <c r="AK67" s="445"/>
      <c r="AL67" s="445"/>
      <c r="AM67" s="445"/>
      <c r="AN67" s="419"/>
      <c r="AO67" s="419"/>
      <c r="AP67" s="419"/>
      <c r="AQ67" s="419"/>
      <c r="AR67" s="419"/>
      <c r="AS67" s="419"/>
      <c r="AT67" s="419"/>
      <c r="AU67" s="419"/>
      <c r="AV67" s="419"/>
      <c r="AW67" s="419"/>
      <c r="AX67" s="419"/>
      <c r="AY67" s="419"/>
      <c r="AZ67" s="419"/>
      <c r="BA67" s="419"/>
      <c r="BB67" s="419"/>
      <c r="BC67" s="419"/>
      <c r="BD67" s="419"/>
      <c r="BE67" s="419"/>
      <c r="BF67" s="419"/>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row>
    <row r="68" spans="1:90"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445"/>
      <c r="AK68" s="445"/>
      <c r="AL68" s="445"/>
      <c r="AM68" s="445"/>
      <c r="AN68" s="419"/>
      <c r="AO68" s="419"/>
      <c r="AP68" s="419"/>
      <c r="AQ68" s="419"/>
      <c r="AR68" s="419"/>
      <c r="AS68" s="419"/>
      <c r="AT68" s="419"/>
      <c r="AU68" s="419"/>
      <c r="AV68" s="419"/>
      <c r="AW68" s="419"/>
      <c r="AX68" s="419"/>
      <c r="AY68" s="419"/>
      <c r="AZ68" s="419"/>
      <c r="BA68" s="419"/>
      <c r="BB68" s="419"/>
      <c r="BC68" s="419"/>
      <c r="BD68" s="419"/>
      <c r="BE68" s="419"/>
      <c r="BF68" s="419"/>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row>
    <row r="69" spans="1:90"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445"/>
      <c r="AK69" s="445"/>
      <c r="AL69" s="445"/>
      <c r="AM69" s="445"/>
      <c r="AN69" s="419"/>
      <c r="AO69" s="419"/>
      <c r="AP69" s="419"/>
      <c r="AQ69" s="419"/>
      <c r="AR69" s="419"/>
      <c r="AS69" s="419"/>
      <c r="AT69" s="419"/>
      <c r="AU69" s="419"/>
      <c r="AV69" s="419"/>
      <c r="AW69" s="419"/>
      <c r="AX69" s="419"/>
      <c r="AY69" s="419"/>
      <c r="AZ69" s="419"/>
      <c r="BA69" s="419"/>
      <c r="BB69" s="419"/>
      <c r="BC69" s="419"/>
      <c r="BD69" s="419"/>
      <c r="BE69" s="419"/>
      <c r="BF69" s="419"/>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row>
    <row r="70" spans="1:90"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445"/>
      <c r="AK70" s="445"/>
      <c r="AL70" s="445"/>
      <c r="AM70" s="445"/>
      <c r="AN70" s="419"/>
      <c r="AO70" s="419"/>
      <c r="AP70" s="419"/>
      <c r="AQ70" s="419"/>
      <c r="AR70" s="419"/>
      <c r="AS70" s="419"/>
      <c r="AT70" s="419"/>
      <c r="AU70" s="419"/>
      <c r="AV70" s="419"/>
      <c r="AW70" s="419"/>
      <c r="AX70" s="419"/>
      <c r="AY70" s="419"/>
      <c r="AZ70" s="419"/>
      <c r="BA70" s="419"/>
      <c r="BB70" s="419"/>
      <c r="BC70" s="419"/>
      <c r="BD70" s="419"/>
      <c r="BE70" s="419"/>
      <c r="BF70" s="419"/>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row>
    <row r="71" spans="1:90"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445"/>
      <c r="AK71" s="445"/>
      <c r="AL71" s="445"/>
      <c r="AM71" s="445"/>
      <c r="AN71" s="419"/>
      <c r="AO71" s="419"/>
      <c r="AP71" s="419"/>
      <c r="AQ71" s="419"/>
      <c r="AR71" s="419"/>
      <c r="AS71" s="419"/>
      <c r="AT71" s="419"/>
      <c r="AU71" s="419"/>
      <c r="AV71" s="419"/>
      <c r="AW71" s="419"/>
      <c r="AX71" s="419"/>
      <c r="AY71" s="419"/>
      <c r="AZ71" s="419"/>
      <c r="BA71" s="419"/>
      <c r="BB71" s="419"/>
      <c r="BC71" s="419"/>
      <c r="BD71" s="419"/>
      <c r="BE71" s="419"/>
      <c r="BF71" s="419"/>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row>
    <row r="72" spans="1:90"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445"/>
      <c r="AK72" s="445"/>
      <c r="AL72" s="445"/>
      <c r="AM72" s="445"/>
      <c r="AN72" s="419"/>
      <c r="AO72" s="419"/>
      <c r="AP72" s="419"/>
      <c r="AQ72" s="419"/>
      <c r="AR72" s="419"/>
      <c r="AS72" s="419"/>
      <c r="AT72" s="419"/>
      <c r="AU72" s="419"/>
      <c r="AV72" s="419"/>
      <c r="AW72" s="419"/>
      <c r="AX72" s="419"/>
      <c r="AY72" s="419"/>
      <c r="AZ72" s="419"/>
      <c r="BA72" s="419"/>
      <c r="BB72" s="419"/>
      <c r="BC72" s="419"/>
      <c r="BD72" s="419"/>
      <c r="BE72" s="419"/>
      <c r="BF72" s="419"/>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row>
    <row r="73" spans="1:90"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445"/>
      <c r="AK73" s="445"/>
      <c r="AL73" s="445"/>
      <c r="AM73" s="445"/>
      <c r="AN73" s="419"/>
      <c r="AO73" s="419"/>
      <c r="AP73" s="419"/>
      <c r="AQ73" s="419"/>
      <c r="AR73" s="419"/>
      <c r="AS73" s="419"/>
      <c r="AT73" s="419"/>
      <c r="AU73" s="419"/>
      <c r="AV73" s="419"/>
      <c r="AW73" s="419"/>
      <c r="AX73" s="419"/>
      <c r="AY73" s="419"/>
      <c r="AZ73" s="419"/>
      <c r="BA73" s="419"/>
      <c r="BB73" s="419"/>
      <c r="BC73" s="419"/>
      <c r="BD73" s="419"/>
      <c r="BE73" s="419"/>
      <c r="BF73" s="419"/>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row>
    <row r="74" spans="1:90"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445"/>
      <c r="AK74" s="445"/>
      <c r="AL74" s="445"/>
      <c r="AM74" s="445"/>
      <c r="AN74" s="419"/>
      <c r="AO74" s="419"/>
      <c r="AP74" s="419"/>
      <c r="AQ74" s="419"/>
      <c r="AR74" s="419"/>
      <c r="AS74" s="419"/>
      <c r="AT74" s="419"/>
      <c r="AU74" s="419"/>
      <c r="AV74" s="419"/>
      <c r="AW74" s="419"/>
      <c r="AX74" s="419"/>
      <c r="AY74" s="419"/>
      <c r="AZ74" s="419"/>
      <c r="BA74" s="419"/>
      <c r="BB74" s="419"/>
      <c r="BC74" s="419"/>
      <c r="BD74" s="419"/>
      <c r="BE74" s="419"/>
      <c r="BF74" s="419"/>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row>
    <row r="75" spans="1:90"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445"/>
      <c r="AK75" s="445"/>
      <c r="AL75" s="445"/>
      <c r="AM75" s="445"/>
      <c r="AN75" s="419"/>
      <c r="AO75" s="419"/>
      <c r="AP75" s="419"/>
      <c r="AQ75" s="419"/>
      <c r="AR75" s="419"/>
      <c r="AS75" s="419"/>
      <c r="AT75" s="419"/>
      <c r="AU75" s="419"/>
      <c r="AV75" s="419"/>
      <c r="AW75" s="419"/>
      <c r="AX75" s="419"/>
      <c r="AY75" s="419"/>
      <c r="AZ75" s="419"/>
      <c r="BA75" s="419"/>
      <c r="BB75" s="419"/>
      <c r="BC75" s="419"/>
      <c r="BD75" s="419"/>
      <c r="BE75" s="419"/>
      <c r="BF75" s="419"/>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row>
    <row r="76" spans="1:90"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445"/>
      <c r="AK76" s="445"/>
      <c r="AL76" s="445"/>
      <c r="AM76" s="445"/>
      <c r="AN76" s="419"/>
      <c r="AO76" s="419"/>
      <c r="AP76" s="419"/>
      <c r="AQ76" s="419"/>
      <c r="AR76" s="419"/>
      <c r="AS76" s="419"/>
      <c r="AT76" s="419"/>
      <c r="AU76" s="419"/>
      <c r="AV76" s="419"/>
      <c r="AW76" s="419"/>
      <c r="AX76" s="419"/>
      <c r="AY76" s="419"/>
      <c r="AZ76" s="419"/>
      <c r="BA76" s="419"/>
      <c r="BB76" s="419"/>
      <c r="BC76" s="419"/>
      <c r="BD76" s="419"/>
      <c r="BE76" s="419"/>
      <c r="BF76" s="419"/>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row>
    <row r="77" spans="1:90"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445"/>
      <c r="AK77" s="445"/>
      <c r="AL77" s="445"/>
      <c r="AM77" s="445"/>
      <c r="AN77" s="419"/>
      <c r="AO77" s="419"/>
      <c r="AP77" s="419"/>
      <c r="AQ77" s="419"/>
      <c r="AR77" s="419"/>
      <c r="AS77" s="419"/>
      <c r="AT77" s="419"/>
      <c r="AU77" s="419"/>
      <c r="AV77" s="419"/>
      <c r="AW77" s="419"/>
      <c r="AX77" s="419"/>
      <c r="AY77" s="419"/>
      <c r="AZ77" s="419"/>
      <c r="BA77" s="419"/>
      <c r="BB77" s="419"/>
      <c r="BC77" s="419"/>
      <c r="BD77" s="419"/>
      <c r="BE77" s="419"/>
      <c r="BF77" s="419"/>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row>
    <row r="78" spans="1:90"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445"/>
      <c r="AK78" s="445"/>
      <c r="AL78" s="445"/>
      <c r="AM78" s="445"/>
      <c r="AN78" s="419"/>
      <c r="AO78" s="419"/>
      <c r="AP78" s="419"/>
      <c r="AQ78" s="419"/>
      <c r="AR78" s="419"/>
      <c r="AS78" s="419"/>
      <c r="AT78" s="419"/>
      <c r="AU78" s="419"/>
      <c r="AV78" s="419"/>
      <c r="AW78" s="419"/>
      <c r="AX78" s="419"/>
      <c r="AY78" s="419"/>
      <c r="AZ78" s="419"/>
      <c r="BA78" s="419"/>
      <c r="BB78" s="419"/>
      <c r="BC78" s="419"/>
      <c r="BD78" s="419"/>
      <c r="BE78" s="419"/>
      <c r="BF78" s="419"/>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row>
    <row r="79" spans="1:90"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445"/>
      <c r="AK79" s="445"/>
      <c r="AL79" s="445"/>
      <c r="AM79" s="445"/>
      <c r="AN79" s="419"/>
      <c r="AO79" s="419"/>
      <c r="AP79" s="419"/>
      <c r="AQ79" s="419"/>
      <c r="AR79" s="419"/>
      <c r="AS79" s="419"/>
      <c r="AT79" s="419"/>
      <c r="AU79" s="419"/>
      <c r="AV79" s="419"/>
      <c r="AW79" s="419"/>
      <c r="AX79" s="419"/>
      <c r="AY79" s="419"/>
      <c r="AZ79" s="419"/>
      <c r="BA79" s="419"/>
      <c r="BB79" s="419"/>
      <c r="BC79" s="419"/>
      <c r="BD79" s="419"/>
      <c r="BE79" s="419"/>
      <c r="BF79" s="419"/>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row>
    <row r="80" spans="1:90"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445"/>
      <c r="AK80" s="445"/>
      <c r="AL80" s="445"/>
      <c r="AM80" s="445"/>
      <c r="AN80" s="419"/>
      <c r="AO80" s="419"/>
      <c r="AP80" s="419"/>
      <c r="AQ80" s="419"/>
      <c r="AR80" s="419"/>
      <c r="AS80" s="419"/>
      <c r="AT80" s="419"/>
      <c r="AU80" s="419"/>
      <c r="AV80" s="419"/>
      <c r="AW80" s="419"/>
      <c r="AX80" s="419"/>
      <c r="AY80" s="419"/>
      <c r="AZ80" s="419"/>
      <c r="BA80" s="419"/>
      <c r="BB80" s="419"/>
      <c r="BC80" s="419"/>
      <c r="BD80" s="419"/>
      <c r="BE80" s="419"/>
      <c r="BF80" s="419"/>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row>
    <row r="81" spans="1:90"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445"/>
      <c r="AK81" s="445"/>
      <c r="AL81" s="445"/>
      <c r="AM81" s="445"/>
      <c r="AN81" s="419"/>
      <c r="AO81" s="419"/>
      <c r="AP81" s="419"/>
      <c r="AQ81" s="419"/>
      <c r="AR81" s="419"/>
      <c r="AS81" s="419"/>
      <c r="AT81" s="419"/>
      <c r="AU81" s="419"/>
      <c r="AV81" s="419"/>
      <c r="AW81" s="419"/>
      <c r="AX81" s="419"/>
      <c r="AY81" s="419"/>
      <c r="AZ81" s="419"/>
      <c r="BA81" s="419"/>
      <c r="BB81" s="419"/>
      <c r="BC81" s="419"/>
      <c r="BD81" s="419"/>
      <c r="BE81" s="419"/>
      <c r="BF81" s="419"/>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row>
    <row r="82" spans="1:90"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445"/>
      <c r="AK82" s="445"/>
      <c r="AL82" s="445"/>
      <c r="AM82" s="445"/>
      <c r="AN82" s="419"/>
      <c r="AO82" s="419"/>
      <c r="AP82" s="419"/>
      <c r="AQ82" s="419"/>
      <c r="AR82" s="419"/>
      <c r="AS82" s="419"/>
      <c r="AT82" s="419"/>
      <c r="AU82" s="419"/>
      <c r="AV82" s="419"/>
      <c r="AW82" s="419"/>
      <c r="AX82" s="419"/>
      <c r="AY82" s="419"/>
      <c r="AZ82" s="419"/>
      <c r="BA82" s="419"/>
      <c r="BB82" s="419"/>
      <c r="BC82" s="419"/>
      <c r="BD82" s="419"/>
      <c r="BE82" s="419"/>
      <c r="BF82" s="419"/>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row>
    <row r="83" spans="1:90"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445"/>
      <c r="AK83" s="445"/>
      <c r="AL83" s="445"/>
      <c r="AM83" s="445"/>
      <c r="AN83" s="419"/>
      <c r="AO83" s="419"/>
      <c r="AP83" s="419"/>
      <c r="AQ83" s="419"/>
      <c r="AR83" s="419"/>
      <c r="AS83" s="419"/>
      <c r="AT83" s="419"/>
      <c r="AU83" s="419"/>
      <c r="AV83" s="419"/>
      <c r="AW83" s="419"/>
      <c r="AX83" s="419"/>
      <c r="AY83" s="419"/>
      <c r="AZ83" s="419"/>
      <c r="BA83" s="419"/>
      <c r="BB83" s="419"/>
      <c r="BC83" s="419"/>
      <c r="BD83" s="419"/>
      <c r="BE83" s="419"/>
      <c r="BF83" s="419"/>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row>
    <row r="84" spans="1:90"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445"/>
      <c r="AK84" s="445"/>
      <c r="AL84" s="445"/>
      <c r="AM84" s="445"/>
      <c r="AN84" s="419"/>
      <c r="AO84" s="419"/>
      <c r="AP84" s="419"/>
      <c r="AQ84" s="419"/>
      <c r="AR84" s="419"/>
      <c r="AS84" s="419"/>
      <c r="AT84" s="419"/>
      <c r="AU84" s="419"/>
      <c r="AV84" s="419"/>
      <c r="AW84" s="419"/>
      <c r="AX84" s="419"/>
      <c r="AY84" s="419"/>
      <c r="AZ84" s="419"/>
      <c r="BA84" s="419"/>
      <c r="BB84" s="419"/>
      <c r="BC84" s="419"/>
      <c r="BD84" s="419"/>
      <c r="BE84" s="419"/>
      <c r="BF84" s="419"/>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row>
    <row r="85" spans="1:90"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445"/>
      <c r="AK85" s="445"/>
      <c r="AL85" s="445"/>
      <c r="AM85" s="445"/>
      <c r="AN85" s="419"/>
      <c r="AO85" s="419"/>
      <c r="AP85" s="419"/>
      <c r="AQ85" s="419"/>
      <c r="AR85" s="419"/>
      <c r="AS85" s="419"/>
      <c r="AT85" s="419"/>
      <c r="AU85" s="419"/>
      <c r="AV85" s="419"/>
      <c r="AW85" s="419"/>
      <c r="AX85" s="419"/>
      <c r="AY85" s="419"/>
      <c r="AZ85" s="419"/>
      <c r="BA85" s="419"/>
      <c r="BB85" s="419"/>
      <c r="BC85" s="419"/>
      <c r="BD85" s="419"/>
      <c r="BE85" s="419"/>
      <c r="BF85" s="419"/>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row>
    <row r="86" spans="1:90"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445"/>
      <c r="AK86" s="445"/>
      <c r="AL86" s="445"/>
      <c r="AM86" s="445"/>
      <c r="AN86" s="419"/>
      <c r="AO86" s="419"/>
      <c r="AP86" s="419"/>
      <c r="AQ86" s="419"/>
      <c r="AR86" s="419"/>
      <c r="AS86" s="419"/>
      <c r="AT86" s="419"/>
      <c r="AU86" s="419"/>
      <c r="AV86" s="419"/>
      <c r="AW86" s="419"/>
      <c r="AX86" s="419"/>
      <c r="AY86" s="419"/>
      <c r="AZ86" s="419"/>
      <c r="BA86" s="419"/>
      <c r="BB86" s="419"/>
      <c r="BC86" s="419"/>
      <c r="BD86" s="419"/>
      <c r="BE86" s="419"/>
      <c r="BF86" s="419"/>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row>
    <row r="87" spans="1:90"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445"/>
      <c r="AK87" s="445"/>
      <c r="AL87" s="445"/>
      <c r="AM87" s="445"/>
      <c r="AN87" s="419"/>
      <c r="AO87" s="419"/>
      <c r="AP87" s="419"/>
      <c r="AQ87" s="419"/>
      <c r="AR87" s="419"/>
      <c r="AS87" s="419"/>
      <c r="AT87" s="419"/>
      <c r="AU87" s="419"/>
      <c r="AV87" s="419"/>
      <c r="AW87" s="419"/>
      <c r="AX87" s="419"/>
      <c r="AY87" s="419"/>
      <c r="AZ87" s="419"/>
      <c r="BA87" s="419"/>
      <c r="BB87" s="419"/>
      <c r="BC87" s="419"/>
      <c r="BD87" s="419"/>
      <c r="BE87" s="419"/>
      <c r="BF87" s="419"/>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row>
    <row r="88" spans="1:90"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445"/>
      <c r="AK88" s="445"/>
      <c r="AL88" s="445"/>
      <c r="AM88" s="445"/>
      <c r="AN88" s="419"/>
      <c r="AO88" s="419"/>
      <c r="AP88" s="419"/>
      <c r="AQ88" s="419"/>
      <c r="AR88" s="419"/>
      <c r="AS88" s="419"/>
      <c r="AT88" s="419"/>
      <c r="AU88" s="419"/>
      <c r="AV88" s="419"/>
      <c r="AW88" s="419"/>
      <c r="AX88" s="419"/>
      <c r="AY88" s="419"/>
      <c r="AZ88" s="419"/>
      <c r="BA88" s="419"/>
      <c r="BB88" s="419"/>
      <c r="BC88" s="419"/>
      <c r="BD88" s="419"/>
      <c r="BE88" s="419"/>
      <c r="BF88" s="419"/>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row>
    <row r="89" spans="1:90"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445"/>
      <c r="AK89" s="445"/>
      <c r="AL89" s="445"/>
      <c r="AM89" s="445"/>
      <c r="AN89" s="419"/>
      <c r="AO89" s="419"/>
      <c r="AP89" s="419"/>
      <c r="AQ89" s="419"/>
      <c r="AR89" s="419"/>
      <c r="AS89" s="419"/>
      <c r="AT89" s="419"/>
      <c r="AU89" s="419"/>
      <c r="AV89" s="419"/>
      <c r="AW89" s="419"/>
      <c r="AX89" s="419"/>
      <c r="AY89" s="419"/>
      <c r="AZ89" s="419"/>
      <c r="BA89" s="419"/>
      <c r="BB89" s="419"/>
      <c r="BC89" s="419"/>
      <c r="BD89" s="419"/>
      <c r="BE89" s="419"/>
      <c r="BF89" s="419"/>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row>
    <row r="90" spans="1:90"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445"/>
      <c r="AK90" s="445"/>
      <c r="AL90" s="445"/>
      <c r="AM90" s="445"/>
      <c r="AN90" s="419"/>
      <c r="AO90" s="419"/>
      <c r="AP90" s="419"/>
      <c r="AQ90" s="419"/>
      <c r="AR90" s="419"/>
      <c r="AS90" s="419"/>
      <c r="AT90" s="419"/>
      <c r="AU90" s="419"/>
      <c r="AV90" s="419"/>
      <c r="AW90" s="419"/>
      <c r="AX90" s="419"/>
      <c r="AY90" s="419"/>
      <c r="AZ90" s="419"/>
      <c r="BA90" s="419"/>
      <c r="BB90" s="419"/>
      <c r="BC90" s="419"/>
      <c r="BD90" s="419"/>
      <c r="BE90" s="419"/>
      <c r="BF90" s="419"/>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row>
    <row r="91" spans="1:90"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445"/>
      <c r="AK91" s="445"/>
      <c r="AL91" s="445"/>
      <c r="AM91" s="445"/>
      <c r="AN91" s="419"/>
      <c r="AO91" s="419"/>
      <c r="AP91" s="419"/>
      <c r="AQ91" s="419"/>
      <c r="AR91" s="419"/>
      <c r="AS91" s="419"/>
      <c r="AT91" s="419"/>
      <c r="AU91" s="419"/>
      <c r="AV91" s="419"/>
      <c r="AW91" s="419"/>
      <c r="AX91" s="419"/>
      <c r="AY91" s="419"/>
      <c r="AZ91" s="419"/>
      <c r="BA91" s="419"/>
      <c r="BB91" s="419"/>
      <c r="BC91" s="419"/>
      <c r="BD91" s="419"/>
      <c r="BE91" s="419"/>
      <c r="BF91" s="419"/>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row>
    <row r="92" spans="1:90"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445"/>
      <c r="AK92" s="445"/>
      <c r="AL92" s="445"/>
      <c r="AM92" s="445"/>
      <c r="AN92" s="419"/>
      <c r="AO92" s="419"/>
      <c r="AP92" s="419"/>
      <c r="AQ92" s="419"/>
      <c r="AR92" s="419"/>
      <c r="AS92" s="419"/>
      <c r="AT92" s="419"/>
      <c r="AU92" s="419"/>
      <c r="AV92" s="419"/>
      <c r="AW92" s="419"/>
      <c r="AX92" s="419"/>
      <c r="AY92" s="419"/>
      <c r="AZ92" s="419"/>
      <c r="BA92" s="419"/>
      <c r="BB92" s="419"/>
      <c r="BC92" s="419"/>
      <c r="BD92" s="419"/>
      <c r="BE92" s="419"/>
      <c r="BF92" s="419"/>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row>
    <row r="93" spans="1:90"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445"/>
      <c r="AK93" s="445"/>
      <c r="AL93" s="445"/>
      <c r="AM93" s="445"/>
      <c r="AN93" s="419"/>
      <c r="AO93" s="419"/>
      <c r="AP93" s="419"/>
      <c r="AQ93" s="419"/>
      <c r="AR93" s="419"/>
      <c r="AS93" s="419"/>
      <c r="AT93" s="419"/>
      <c r="AU93" s="419"/>
      <c r="AV93" s="419"/>
      <c r="AW93" s="419"/>
      <c r="AX93" s="419"/>
      <c r="AY93" s="419"/>
      <c r="AZ93" s="419"/>
      <c r="BA93" s="419"/>
      <c r="BB93" s="419"/>
      <c r="BC93" s="419"/>
      <c r="BD93" s="419"/>
      <c r="BE93" s="419"/>
      <c r="BF93" s="419"/>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row>
    <row r="94" spans="1:90"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445"/>
      <c r="AK94" s="445"/>
      <c r="AL94" s="445"/>
      <c r="AM94" s="445"/>
      <c r="AN94" s="419"/>
      <c r="AO94" s="419"/>
      <c r="AP94" s="419"/>
      <c r="AQ94" s="419"/>
      <c r="AR94" s="419"/>
      <c r="AS94" s="419"/>
      <c r="AT94" s="419"/>
      <c r="AU94" s="419"/>
      <c r="AV94" s="419"/>
      <c r="AW94" s="419"/>
      <c r="AX94" s="419"/>
      <c r="AY94" s="419"/>
      <c r="AZ94" s="419"/>
      <c r="BA94" s="419"/>
      <c r="BB94" s="419"/>
      <c r="BC94" s="419"/>
      <c r="BD94" s="419"/>
      <c r="BE94" s="419"/>
      <c r="BF94" s="419"/>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row>
    <row r="95" spans="1:90"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445"/>
      <c r="AK95" s="445"/>
      <c r="AL95" s="445"/>
      <c r="AM95" s="445"/>
      <c r="AN95" s="419"/>
      <c r="AO95" s="419"/>
      <c r="AP95" s="419"/>
      <c r="AQ95" s="419"/>
      <c r="AR95" s="419"/>
      <c r="AS95" s="419"/>
      <c r="AT95" s="419"/>
      <c r="AU95" s="419"/>
      <c r="AV95" s="419"/>
      <c r="AW95" s="419"/>
      <c r="AX95" s="419"/>
      <c r="AY95" s="419"/>
      <c r="AZ95" s="419"/>
      <c r="BA95" s="419"/>
      <c r="BB95" s="419"/>
      <c r="BC95" s="419"/>
      <c r="BD95" s="419"/>
      <c r="BE95" s="419"/>
      <c r="BF95" s="419"/>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row>
    <row r="96" spans="1:90"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445"/>
      <c r="AK96" s="445"/>
      <c r="AL96" s="445"/>
      <c r="AM96" s="445"/>
      <c r="AN96" s="419"/>
      <c r="AO96" s="419"/>
      <c r="AP96" s="419"/>
      <c r="AQ96" s="419"/>
      <c r="AR96" s="419"/>
      <c r="AS96" s="419"/>
      <c r="AT96" s="419"/>
      <c r="AU96" s="419"/>
      <c r="AV96" s="419"/>
      <c r="AW96" s="419"/>
      <c r="AX96" s="419"/>
      <c r="AY96" s="419"/>
      <c r="AZ96" s="419"/>
      <c r="BA96" s="419"/>
      <c r="BB96" s="419"/>
      <c r="BC96" s="419"/>
      <c r="BD96" s="419"/>
      <c r="BE96" s="419"/>
      <c r="BF96" s="419"/>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row>
    <row r="97" spans="1:90"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445"/>
      <c r="AK97" s="445"/>
      <c r="AL97" s="445"/>
      <c r="AM97" s="445"/>
      <c r="AN97" s="419"/>
      <c r="AO97" s="419"/>
      <c r="AP97" s="419"/>
      <c r="AQ97" s="419"/>
      <c r="AR97" s="419"/>
      <c r="AS97" s="419"/>
      <c r="AT97" s="419"/>
      <c r="AU97" s="419"/>
      <c r="AV97" s="419"/>
      <c r="AW97" s="419"/>
      <c r="AX97" s="419"/>
      <c r="AY97" s="419"/>
      <c r="AZ97" s="419"/>
      <c r="BA97" s="419"/>
      <c r="BB97" s="419"/>
      <c r="BC97" s="419"/>
      <c r="BD97" s="419"/>
      <c r="BE97" s="419"/>
      <c r="BF97" s="419"/>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row>
    <row r="98" spans="1:90"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445"/>
      <c r="AK98" s="445"/>
      <c r="AL98" s="445"/>
      <c r="AM98" s="445"/>
      <c r="AN98" s="419"/>
      <c r="AO98" s="419"/>
      <c r="AP98" s="419"/>
      <c r="AQ98" s="419"/>
      <c r="AR98" s="419"/>
      <c r="AS98" s="419"/>
      <c r="AT98" s="419"/>
      <c r="AU98" s="419"/>
      <c r="AV98" s="419"/>
      <c r="AW98" s="419"/>
      <c r="AX98" s="419"/>
      <c r="AY98" s="419"/>
      <c r="AZ98" s="419"/>
      <c r="BA98" s="419"/>
      <c r="BB98" s="419"/>
      <c r="BC98" s="419"/>
      <c r="BD98" s="419"/>
      <c r="BE98" s="419"/>
      <c r="BF98" s="419"/>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row>
    <row r="99" spans="1:90"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445"/>
      <c r="AK99" s="445"/>
      <c r="AL99" s="445"/>
      <c r="AM99" s="445"/>
      <c r="AN99" s="419"/>
      <c r="AO99" s="419"/>
      <c r="AP99" s="419"/>
      <c r="AQ99" s="419"/>
      <c r="AR99" s="419"/>
      <c r="AS99" s="419"/>
      <c r="AT99" s="419"/>
      <c r="AU99" s="419"/>
      <c r="AV99" s="419"/>
      <c r="AW99" s="419"/>
      <c r="AX99" s="419"/>
      <c r="AY99" s="419"/>
      <c r="AZ99" s="419"/>
      <c r="BA99" s="419"/>
      <c r="BB99" s="419"/>
      <c r="BC99" s="419"/>
      <c r="BD99" s="419"/>
      <c r="BE99" s="419"/>
      <c r="BF99" s="419"/>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row>
    <row r="100" spans="1:90"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445"/>
      <c r="AK100" s="445"/>
      <c r="AL100" s="445"/>
      <c r="AM100" s="445"/>
      <c r="AN100" s="419"/>
      <c r="AO100" s="419"/>
      <c r="AP100" s="419"/>
      <c r="AQ100" s="419"/>
      <c r="AR100" s="419"/>
      <c r="AS100" s="419"/>
      <c r="AT100" s="419"/>
      <c r="AU100" s="419"/>
      <c r="AV100" s="419"/>
      <c r="AW100" s="419"/>
      <c r="AX100" s="419"/>
      <c r="AY100" s="419"/>
      <c r="AZ100" s="419"/>
      <c r="BA100" s="419"/>
      <c r="BB100" s="419"/>
      <c r="BC100" s="419"/>
      <c r="BD100" s="419"/>
      <c r="BE100" s="419"/>
      <c r="BF100" s="419"/>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row>
    <row r="101" spans="1:90"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445"/>
      <c r="AK101" s="445"/>
      <c r="AL101" s="445"/>
      <c r="AM101" s="445"/>
      <c r="AN101" s="419"/>
      <c r="AO101" s="419"/>
      <c r="AP101" s="419"/>
      <c r="AQ101" s="419"/>
      <c r="AR101" s="419"/>
      <c r="AS101" s="419"/>
      <c r="AT101" s="419"/>
      <c r="AU101" s="419"/>
      <c r="AV101" s="419"/>
      <c r="AW101" s="419"/>
      <c r="AX101" s="419"/>
      <c r="AY101" s="419"/>
      <c r="AZ101" s="419"/>
      <c r="BA101" s="419"/>
      <c r="BB101" s="419"/>
      <c r="BC101" s="419"/>
      <c r="BD101" s="419"/>
      <c r="BE101" s="419"/>
      <c r="BF101" s="419"/>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row>
    <row r="102" spans="1:90"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445"/>
      <c r="AK102" s="445"/>
      <c r="AL102" s="445"/>
      <c r="AM102" s="445"/>
      <c r="AN102" s="419"/>
      <c r="AO102" s="419"/>
      <c r="AP102" s="419"/>
      <c r="AQ102" s="419"/>
      <c r="AR102" s="419"/>
      <c r="AS102" s="419"/>
      <c r="AT102" s="419"/>
      <c r="AU102" s="419"/>
      <c r="AV102" s="419"/>
      <c r="AW102" s="419"/>
      <c r="AX102" s="419"/>
      <c r="AY102" s="419"/>
      <c r="AZ102" s="419"/>
      <c r="BA102" s="419"/>
      <c r="BB102" s="419"/>
      <c r="BC102" s="419"/>
      <c r="BD102" s="419"/>
      <c r="BE102" s="419"/>
      <c r="BF102" s="419"/>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row>
    <row r="103" spans="1:90"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445"/>
      <c r="AK103" s="445"/>
      <c r="AL103" s="445"/>
      <c r="AM103" s="445"/>
      <c r="AN103" s="419"/>
      <c r="AO103" s="419"/>
      <c r="AP103" s="419"/>
      <c r="AQ103" s="419"/>
      <c r="AR103" s="419"/>
      <c r="AS103" s="419"/>
      <c r="AT103" s="419"/>
      <c r="AU103" s="419"/>
      <c r="AV103" s="419"/>
      <c r="AW103" s="419"/>
      <c r="AX103" s="419"/>
      <c r="AY103" s="419"/>
      <c r="AZ103" s="419"/>
      <c r="BA103" s="419"/>
      <c r="BB103" s="419"/>
      <c r="BC103" s="419"/>
      <c r="BD103" s="419"/>
      <c r="BE103" s="419"/>
      <c r="BF103" s="419"/>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row>
    <row r="104" spans="1:90"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445"/>
      <c r="AK104" s="445"/>
      <c r="AL104" s="445"/>
      <c r="AM104" s="445"/>
      <c r="AN104" s="419"/>
      <c r="AO104" s="419"/>
      <c r="AP104" s="419"/>
      <c r="AQ104" s="419"/>
      <c r="AR104" s="419"/>
      <c r="AS104" s="419"/>
      <c r="AT104" s="419"/>
      <c r="AU104" s="419"/>
      <c r="AV104" s="419"/>
      <c r="AW104" s="419"/>
      <c r="AX104" s="419"/>
      <c r="AY104" s="419"/>
      <c r="AZ104" s="419"/>
      <c r="BA104" s="419"/>
      <c r="BB104" s="419"/>
      <c r="BC104" s="419"/>
      <c r="BD104" s="419"/>
      <c r="BE104" s="419"/>
      <c r="BF104" s="419"/>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row>
    <row r="105" spans="1:90"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445"/>
      <c r="AK105" s="445"/>
      <c r="AL105" s="445"/>
      <c r="AM105" s="445"/>
      <c r="AN105" s="419"/>
      <c r="AO105" s="419"/>
      <c r="AP105" s="419"/>
      <c r="AQ105" s="419"/>
      <c r="AR105" s="419"/>
      <c r="AS105" s="419"/>
      <c r="AT105" s="419"/>
      <c r="AU105" s="419"/>
      <c r="AV105" s="419"/>
      <c r="AW105" s="419"/>
      <c r="AX105" s="419"/>
      <c r="AY105" s="419"/>
      <c r="AZ105" s="419"/>
      <c r="BA105" s="419"/>
      <c r="BB105" s="419"/>
      <c r="BC105" s="419"/>
      <c r="BD105" s="419"/>
      <c r="BE105" s="419"/>
      <c r="BF105" s="419"/>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row>
    <row r="106" spans="1:90"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445"/>
      <c r="AK106" s="445"/>
      <c r="AL106" s="445"/>
      <c r="AM106" s="445"/>
      <c r="AN106" s="419"/>
      <c r="AO106" s="419"/>
      <c r="AP106" s="419"/>
      <c r="AQ106" s="419"/>
      <c r="AR106" s="419"/>
      <c r="AS106" s="419"/>
      <c r="AT106" s="419"/>
      <c r="AU106" s="419"/>
      <c r="AV106" s="419"/>
      <c r="AW106" s="419"/>
      <c r="AX106" s="419"/>
      <c r="AY106" s="419"/>
      <c r="AZ106" s="419"/>
      <c r="BA106" s="419"/>
      <c r="BB106" s="419"/>
      <c r="BC106" s="419"/>
      <c r="BD106" s="419"/>
      <c r="BE106" s="419"/>
      <c r="BF106" s="419"/>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row>
    <row r="107" spans="1:90"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445"/>
      <c r="AK107" s="445"/>
      <c r="AL107" s="445"/>
      <c r="AM107" s="445"/>
      <c r="AN107" s="419"/>
      <c r="AO107" s="419"/>
      <c r="AP107" s="419"/>
      <c r="AQ107" s="419"/>
      <c r="AR107" s="419"/>
      <c r="AS107" s="419"/>
      <c r="AT107" s="419"/>
      <c r="AU107" s="419"/>
      <c r="AV107" s="419"/>
      <c r="AW107" s="419"/>
      <c r="AX107" s="419"/>
      <c r="AY107" s="419"/>
      <c r="AZ107" s="419"/>
      <c r="BA107" s="419"/>
      <c r="BB107" s="419"/>
      <c r="BC107" s="419"/>
      <c r="BD107" s="419"/>
      <c r="BE107" s="419"/>
      <c r="BF107" s="419"/>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row>
    <row r="108" spans="1:90"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445"/>
      <c r="AK108" s="445"/>
      <c r="AL108" s="445"/>
      <c r="AM108" s="445"/>
      <c r="AN108" s="419"/>
      <c r="AO108" s="419"/>
      <c r="AP108" s="419"/>
      <c r="AQ108" s="419"/>
      <c r="AR108" s="419"/>
      <c r="AS108" s="419"/>
      <c r="AT108" s="419"/>
      <c r="AU108" s="419"/>
      <c r="AV108" s="419"/>
      <c r="AW108" s="419"/>
      <c r="AX108" s="419"/>
      <c r="AY108" s="419"/>
      <c r="AZ108" s="419"/>
      <c r="BA108" s="419"/>
      <c r="BB108" s="419"/>
      <c r="BC108" s="419"/>
      <c r="BD108" s="419"/>
      <c r="BE108" s="419"/>
      <c r="BF108" s="419"/>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row>
    <row r="109" spans="1:90"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445"/>
      <c r="AK109" s="445"/>
      <c r="AL109" s="445"/>
      <c r="AM109" s="445"/>
      <c r="AN109" s="419"/>
      <c r="AO109" s="419"/>
      <c r="AP109" s="419"/>
      <c r="AQ109" s="419"/>
      <c r="AR109" s="419"/>
      <c r="AS109" s="419"/>
      <c r="AT109" s="419"/>
      <c r="AU109" s="419"/>
      <c r="AV109" s="419"/>
      <c r="AW109" s="419"/>
      <c r="AX109" s="419"/>
      <c r="AY109" s="419"/>
      <c r="AZ109" s="419"/>
      <c r="BA109" s="419"/>
      <c r="BB109" s="419"/>
      <c r="BC109" s="419"/>
      <c r="BD109" s="419"/>
      <c r="BE109" s="419"/>
      <c r="BF109" s="419"/>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row>
    <row r="110" spans="1:90"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445"/>
      <c r="AK110" s="445"/>
      <c r="AL110" s="445"/>
      <c r="AM110" s="445"/>
      <c r="AN110" s="419"/>
      <c r="AO110" s="419"/>
      <c r="AP110" s="419"/>
      <c r="AQ110" s="419"/>
      <c r="AR110" s="419"/>
      <c r="AS110" s="419"/>
      <c r="AT110" s="419"/>
      <c r="AU110" s="419"/>
      <c r="AV110" s="419"/>
      <c r="AW110" s="419"/>
      <c r="AX110" s="419"/>
      <c r="AY110" s="419"/>
      <c r="AZ110" s="419"/>
      <c r="BA110" s="419"/>
      <c r="BB110" s="419"/>
      <c r="BC110" s="419"/>
      <c r="BD110" s="419"/>
      <c r="BE110" s="419"/>
      <c r="BF110" s="419"/>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row>
    <row r="111" spans="1:90"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445"/>
      <c r="AK111" s="445"/>
      <c r="AL111" s="445"/>
      <c r="AM111" s="445"/>
      <c r="AN111" s="419"/>
      <c r="AO111" s="419"/>
      <c r="AP111" s="419"/>
      <c r="AQ111" s="419"/>
      <c r="AR111" s="419"/>
      <c r="AS111" s="419"/>
      <c r="AT111" s="419"/>
      <c r="AU111" s="419"/>
      <c r="AV111" s="419"/>
      <c r="AW111" s="419"/>
      <c r="AX111" s="419"/>
      <c r="AY111" s="419"/>
      <c r="AZ111" s="419"/>
      <c r="BA111" s="419"/>
      <c r="BB111" s="419"/>
      <c r="BC111" s="419"/>
      <c r="BD111" s="419"/>
      <c r="BE111" s="419"/>
      <c r="BF111" s="419"/>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row>
    <row r="112" spans="1:90"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445"/>
      <c r="AK112" s="445"/>
      <c r="AL112" s="445"/>
      <c r="AM112" s="445"/>
      <c r="AN112" s="419"/>
      <c r="AO112" s="419"/>
      <c r="AP112" s="419"/>
      <c r="AQ112" s="419"/>
      <c r="AR112" s="419"/>
      <c r="AS112" s="419"/>
      <c r="AT112" s="419"/>
      <c r="AU112" s="419"/>
      <c r="AV112" s="419"/>
      <c r="AW112" s="419"/>
      <c r="AX112" s="419"/>
      <c r="AY112" s="419"/>
      <c r="AZ112" s="419"/>
      <c r="BA112" s="419"/>
      <c r="BB112" s="419"/>
      <c r="BC112" s="419"/>
      <c r="BD112" s="419"/>
      <c r="BE112" s="419"/>
      <c r="BF112" s="419"/>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row>
    <row r="113" spans="1:90"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445"/>
      <c r="AK113" s="445"/>
      <c r="AL113" s="445"/>
      <c r="AM113" s="445"/>
      <c r="AN113" s="419"/>
      <c r="AO113" s="419"/>
      <c r="AP113" s="419"/>
      <c r="AQ113" s="419"/>
      <c r="AR113" s="419"/>
      <c r="AS113" s="419"/>
      <c r="AT113" s="419"/>
      <c r="AU113" s="419"/>
      <c r="AV113" s="419"/>
      <c r="AW113" s="419"/>
      <c r="AX113" s="419"/>
      <c r="AY113" s="419"/>
      <c r="AZ113" s="419"/>
      <c r="BA113" s="419"/>
      <c r="BB113" s="419"/>
      <c r="BC113" s="419"/>
      <c r="BD113" s="419"/>
      <c r="BE113" s="419"/>
      <c r="BF113" s="419"/>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row>
    <row r="114" spans="1:90"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445"/>
      <c r="AK114" s="445"/>
      <c r="AL114" s="445"/>
      <c r="AM114" s="445"/>
      <c r="AN114" s="419"/>
      <c r="AO114" s="419"/>
      <c r="AP114" s="419"/>
      <c r="AQ114" s="419"/>
      <c r="AR114" s="419"/>
      <c r="AS114" s="419"/>
      <c r="AT114" s="419"/>
      <c r="AU114" s="419"/>
      <c r="AV114" s="419"/>
      <c r="AW114" s="419"/>
      <c r="AX114" s="419"/>
      <c r="AY114" s="419"/>
      <c r="AZ114" s="419"/>
      <c r="BA114" s="419"/>
      <c r="BB114" s="419"/>
      <c r="BC114" s="419"/>
      <c r="BD114" s="419"/>
      <c r="BE114" s="419"/>
      <c r="BF114" s="419"/>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row>
    <row r="115" spans="1:90"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445"/>
      <c r="AK115" s="445"/>
      <c r="AL115" s="445"/>
      <c r="AM115" s="445"/>
      <c r="AN115" s="419"/>
      <c r="AO115" s="419"/>
      <c r="AP115" s="419"/>
      <c r="AQ115" s="419"/>
      <c r="AR115" s="419"/>
      <c r="AS115" s="419"/>
      <c r="AT115" s="419"/>
      <c r="AU115" s="419"/>
      <c r="AV115" s="419"/>
      <c r="AW115" s="419"/>
      <c r="AX115" s="419"/>
      <c r="AY115" s="419"/>
      <c r="AZ115" s="419"/>
      <c r="BA115" s="419"/>
      <c r="BB115" s="419"/>
      <c r="BC115" s="419"/>
      <c r="BD115" s="419"/>
      <c r="BE115" s="419"/>
      <c r="BF115" s="419"/>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row>
    <row r="116" spans="1:90"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445"/>
      <c r="AK116" s="445"/>
      <c r="AL116" s="445"/>
      <c r="AM116" s="445"/>
      <c r="AN116" s="419"/>
      <c r="AO116" s="419"/>
      <c r="AP116" s="419"/>
      <c r="AQ116" s="419"/>
      <c r="AR116" s="419"/>
      <c r="AS116" s="419"/>
      <c r="AT116" s="419"/>
      <c r="AU116" s="419"/>
      <c r="AV116" s="419"/>
      <c r="AW116" s="419"/>
      <c r="AX116" s="419"/>
      <c r="AY116" s="419"/>
      <c r="AZ116" s="419"/>
      <c r="BA116" s="419"/>
      <c r="BB116" s="419"/>
      <c r="BC116" s="419"/>
      <c r="BD116" s="419"/>
      <c r="BE116" s="419"/>
      <c r="BF116" s="419"/>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row>
    <row r="117" spans="1:90"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445"/>
      <c r="AK117" s="445"/>
      <c r="AL117" s="445"/>
      <c r="AM117" s="445"/>
      <c r="AN117" s="419"/>
      <c r="AO117" s="419"/>
      <c r="AP117" s="419"/>
      <c r="AQ117" s="419"/>
      <c r="AR117" s="419"/>
      <c r="AS117" s="419"/>
      <c r="AT117" s="419"/>
      <c r="AU117" s="419"/>
      <c r="AV117" s="419"/>
      <c r="AW117" s="419"/>
      <c r="AX117" s="419"/>
      <c r="AY117" s="419"/>
      <c r="AZ117" s="419"/>
      <c r="BA117" s="419"/>
      <c r="BB117" s="419"/>
      <c r="BC117" s="419"/>
      <c r="BD117" s="419"/>
      <c r="BE117" s="419"/>
      <c r="BF117" s="419"/>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row>
    <row r="118" spans="1:90"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445"/>
      <c r="AK118" s="445"/>
      <c r="AL118" s="445"/>
      <c r="AM118" s="445"/>
      <c r="AN118" s="419"/>
      <c r="AO118" s="419"/>
      <c r="AP118" s="419"/>
      <c r="AQ118" s="419"/>
      <c r="AR118" s="419"/>
      <c r="AS118" s="419"/>
      <c r="AT118" s="419"/>
      <c r="AU118" s="419"/>
      <c r="AV118" s="419"/>
      <c r="AW118" s="419"/>
      <c r="AX118" s="419"/>
      <c r="AY118" s="419"/>
      <c r="AZ118" s="419"/>
      <c r="BA118" s="419"/>
      <c r="BB118" s="419"/>
      <c r="BC118" s="419"/>
      <c r="BD118" s="419"/>
      <c r="BE118" s="419"/>
      <c r="BF118" s="419"/>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row>
    <row r="119" spans="1:90"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445"/>
      <c r="AK119" s="445"/>
      <c r="AL119" s="445"/>
      <c r="AM119" s="445"/>
      <c r="AN119" s="419"/>
      <c r="AO119" s="419"/>
      <c r="AP119" s="419"/>
      <c r="AQ119" s="419"/>
      <c r="AR119" s="419"/>
      <c r="AS119" s="419"/>
      <c r="AT119" s="419"/>
      <c r="AU119" s="419"/>
      <c r="AV119" s="419"/>
      <c r="AW119" s="419"/>
      <c r="AX119" s="419"/>
      <c r="AY119" s="419"/>
      <c r="AZ119" s="419"/>
      <c r="BA119" s="419"/>
      <c r="BB119" s="419"/>
      <c r="BC119" s="419"/>
      <c r="BD119" s="419"/>
      <c r="BE119" s="419"/>
      <c r="BF119" s="419"/>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row>
    <row r="120" spans="1:90"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445"/>
      <c r="AK120" s="445"/>
      <c r="AL120" s="445"/>
      <c r="AM120" s="445"/>
      <c r="AN120" s="419"/>
      <c r="AO120" s="419"/>
      <c r="AP120" s="419"/>
      <c r="AQ120" s="419"/>
      <c r="AR120" s="419"/>
      <c r="AS120" s="419"/>
      <c r="AT120" s="419"/>
      <c r="AU120" s="419"/>
      <c r="AV120" s="419"/>
      <c r="AW120" s="419"/>
      <c r="AX120" s="419"/>
      <c r="AY120" s="419"/>
      <c r="AZ120" s="419"/>
      <c r="BA120" s="419"/>
      <c r="BB120" s="419"/>
      <c r="BC120" s="419"/>
      <c r="BD120" s="419"/>
      <c r="BE120" s="419"/>
      <c r="BF120" s="419"/>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row>
    <row r="121" spans="1:90"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445"/>
      <c r="AK121" s="445"/>
      <c r="AL121" s="445"/>
      <c r="AM121" s="445"/>
      <c r="AN121" s="419"/>
      <c r="AO121" s="419"/>
      <c r="AP121" s="419"/>
      <c r="AQ121" s="419"/>
      <c r="AR121" s="419"/>
      <c r="AS121" s="419"/>
      <c r="AT121" s="419"/>
      <c r="AU121" s="419"/>
      <c r="AV121" s="419"/>
      <c r="AW121" s="419"/>
      <c r="AX121" s="419"/>
      <c r="AY121" s="419"/>
      <c r="AZ121" s="419"/>
      <c r="BA121" s="419"/>
      <c r="BB121" s="419"/>
      <c r="BC121" s="419"/>
      <c r="BD121" s="419"/>
      <c r="BE121" s="419"/>
      <c r="BF121" s="419"/>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row>
    <row r="122" spans="1:90"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445"/>
      <c r="AK122" s="445"/>
      <c r="AL122" s="445"/>
      <c r="AM122" s="445"/>
      <c r="AN122" s="419"/>
      <c r="AO122" s="419"/>
      <c r="AP122" s="419"/>
      <c r="AQ122" s="419"/>
      <c r="AR122" s="419"/>
      <c r="AS122" s="419"/>
      <c r="AT122" s="419"/>
      <c r="AU122" s="419"/>
      <c r="AV122" s="419"/>
      <c r="AW122" s="419"/>
      <c r="AX122" s="419"/>
      <c r="AY122" s="419"/>
      <c r="AZ122" s="419"/>
      <c r="BA122" s="419"/>
      <c r="BB122" s="419"/>
      <c r="BC122" s="419"/>
      <c r="BD122" s="419"/>
      <c r="BE122" s="419"/>
      <c r="BF122" s="419"/>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row>
    <row r="123" spans="1:90"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445"/>
      <c r="AK123" s="445"/>
      <c r="AL123" s="445"/>
      <c r="AM123" s="445"/>
      <c r="AN123" s="419"/>
      <c r="AO123" s="419"/>
      <c r="AP123" s="419"/>
      <c r="AQ123" s="419"/>
      <c r="AR123" s="419"/>
      <c r="AS123" s="419"/>
      <c r="AT123" s="419"/>
      <c r="AU123" s="419"/>
      <c r="AV123" s="419"/>
      <c r="AW123" s="419"/>
      <c r="AX123" s="419"/>
      <c r="AY123" s="419"/>
      <c r="AZ123" s="419"/>
      <c r="BA123" s="419"/>
      <c r="BB123" s="419"/>
      <c r="BC123" s="419"/>
      <c r="BD123" s="419"/>
      <c r="BE123" s="419"/>
      <c r="BF123" s="419"/>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row>
    <row r="124" spans="1:90"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445"/>
      <c r="AK124" s="445"/>
      <c r="AL124" s="445"/>
      <c r="AM124" s="445"/>
      <c r="AN124" s="419"/>
      <c r="AO124" s="419"/>
      <c r="AP124" s="419"/>
      <c r="AQ124" s="419"/>
      <c r="AR124" s="419"/>
      <c r="AS124" s="419"/>
      <c r="AT124" s="419"/>
      <c r="AU124" s="419"/>
      <c r="AV124" s="419"/>
      <c r="AW124" s="419"/>
      <c r="AX124" s="419"/>
      <c r="AY124" s="419"/>
      <c r="AZ124" s="419"/>
      <c r="BA124" s="419"/>
      <c r="BB124" s="419"/>
      <c r="BC124" s="419"/>
      <c r="BD124" s="419"/>
      <c r="BE124" s="419"/>
      <c r="BF124" s="419"/>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row>
    <row r="125" spans="1:90"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445"/>
      <c r="AK125" s="445"/>
      <c r="AL125" s="445"/>
      <c r="AM125" s="445"/>
      <c r="AN125" s="419"/>
      <c r="AO125" s="419"/>
      <c r="AP125" s="419"/>
      <c r="AQ125" s="419"/>
      <c r="AR125" s="419"/>
      <c r="AS125" s="419"/>
      <c r="AT125" s="419"/>
      <c r="AU125" s="419"/>
      <c r="AV125" s="419"/>
      <c r="AW125" s="419"/>
      <c r="AX125" s="419"/>
      <c r="AY125" s="419"/>
      <c r="AZ125" s="419"/>
      <c r="BA125" s="419"/>
      <c r="BB125" s="419"/>
      <c r="BC125" s="419"/>
      <c r="BD125" s="419"/>
      <c r="BE125" s="419"/>
      <c r="BF125" s="419"/>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row>
    <row r="126" spans="1:90"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445"/>
      <c r="AK126" s="445"/>
      <c r="AL126" s="445"/>
      <c r="AM126" s="445"/>
      <c r="AN126" s="419"/>
      <c r="AO126" s="419"/>
      <c r="AP126" s="419"/>
      <c r="AQ126" s="419"/>
      <c r="AR126" s="419"/>
      <c r="AS126" s="419"/>
      <c r="AT126" s="419"/>
      <c r="AU126" s="419"/>
      <c r="AV126" s="419"/>
      <c r="AW126" s="419"/>
      <c r="AX126" s="419"/>
      <c r="AY126" s="419"/>
      <c r="AZ126" s="419"/>
      <c r="BA126" s="419"/>
      <c r="BB126" s="419"/>
      <c r="BC126" s="419"/>
      <c r="BD126" s="419"/>
      <c r="BE126" s="419"/>
      <c r="BF126" s="419"/>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row>
    <row r="127" spans="1:90"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445"/>
      <c r="AK127" s="445"/>
      <c r="AL127" s="445"/>
      <c r="AM127" s="445"/>
      <c r="AN127" s="419"/>
      <c r="AO127" s="419"/>
      <c r="AP127" s="419"/>
      <c r="AQ127" s="419"/>
      <c r="AR127" s="419"/>
      <c r="AS127" s="419"/>
      <c r="AT127" s="419"/>
      <c r="AU127" s="419"/>
      <c r="AV127" s="419"/>
      <c r="AW127" s="419"/>
      <c r="AX127" s="419"/>
      <c r="AY127" s="419"/>
      <c r="AZ127" s="419"/>
      <c r="BA127" s="419"/>
      <c r="BB127" s="419"/>
      <c r="BC127" s="419"/>
      <c r="BD127" s="419"/>
      <c r="BE127" s="419"/>
      <c r="BF127" s="419"/>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row>
    <row r="128" spans="1:90"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445"/>
      <c r="AK128" s="445"/>
      <c r="AL128" s="445"/>
      <c r="AM128" s="445"/>
      <c r="AN128" s="419"/>
      <c r="AO128" s="419"/>
      <c r="AP128" s="419"/>
      <c r="AQ128" s="419"/>
      <c r="AR128" s="419"/>
      <c r="AS128" s="419"/>
      <c r="AT128" s="419"/>
      <c r="AU128" s="419"/>
      <c r="AV128" s="419"/>
      <c r="AW128" s="419"/>
      <c r="AX128" s="419"/>
      <c r="AY128" s="419"/>
      <c r="AZ128" s="419"/>
      <c r="BA128" s="419"/>
      <c r="BB128" s="419"/>
      <c r="BC128" s="419"/>
      <c r="BD128" s="419"/>
      <c r="BE128" s="419"/>
      <c r="BF128" s="419"/>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row>
    <row r="129" spans="1:90"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445"/>
      <c r="AK129" s="445"/>
      <c r="AL129" s="445"/>
      <c r="AM129" s="445"/>
      <c r="AN129" s="419"/>
      <c r="AO129" s="419"/>
      <c r="AP129" s="419"/>
      <c r="AQ129" s="419"/>
      <c r="AR129" s="419"/>
      <c r="AS129" s="419"/>
      <c r="AT129" s="419"/>
      <c r="AU129" s="419"/>
      <c r="AV129" s="419"/>
      <c r="AW129" s="419"/>
      <c r="AX129" s="419"/>
      <c r="AY129" s="419"/>
      <c r="AZ129" s="419"/>
      <c r="BA129" s="419"/>
      <c r="BB129" s="419"/>
      <c r="BC129" s="419"/>
      <c r="BD129" s="419"/>
      <c r="BE129" s="419"/>
      <c r="BF129" s="419"/>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row>
    <row r="130" spans="1:90"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445"/>
      <c r="AK130" s="445"/>
      <c r="AL130" s="445"/>
      <c r="AM130" s="445"/>
      <c r="AN130" s="419"/>
      <c r="AO130" s="419"/>
      <c r="AP130" s="419"/>
      <c r="AQ130" s="419"/>
      <c r="AR130" s="419"/>
      <c r="AS130" s="419"/>
      <c r="AT130" s="419"/>
      <c r="AU130" s="419"/>
      <c r="AV130" s="419"/>
      <c r="AW130" s="419"/>
      <c r="AX130" s="419"/>
      <c r="AY130" s="419"/>
      <c r="AZ130" s="419"/>
      <c r="BA130" s="419"/>
      <c r="BB130" s="419"/>
      <c r="BC130" s="419"/>
      <c r="BD130" s="419"/>
      <c r="BE130" s="419"/>
      <c r="BF130" s="419"/>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row>
    <row r="131" spans="1:90"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445"/>
      <c r="AK131" s="445"/>
      <c r="AL131" s="445"/>
      <c r="AM131" s="445"/>
      <c r="AN131" s="419"/>
      <c r="AO131" s="419"/>
      <c r="AP131" s="419"/>
      <c r="AQ131" s="419"/>
      <c r="AR131" s="419"/>
      <c r="AS131" s="419"/>
      <c r="AT131" s="419"/>
      <c r="AU131" s="419"/>
      <c r="AV131" s="419"/>
      <c r="AW131" s="419"/>
      <c r="AX131" s="419"/>
      <c r="AY131" s="419"/>
      <c r="AZ131" s="419"/>
      <c r="BA131" s="419"/>
      <c r="BB131" s="419"/>
      <c r="BC131" s="419"/>
      <c r="BD131" s="419"/>
      <c r="BE131" s="419"/>
      <c r="BF131" s="419"/>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row>
    <row r="132" spans="1:90"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445"/>
      <c r="AK132" s="445"/>
      <c r="AL132" s="445"/>
      <c r="AM132" s="445"/>
      <c r="AN132" s="419"/>
      <c r="AO132" s="419"/>
      <c r="AP132" s="419"/>
      <c r="AQ132" s="419"/>
      <c r="AR132" s="419"/>
      <c r="AS132" s="419"/>
      <c r="AT132" s="419"/>
      <c r="AU132" s="419"/>
      <c r="AV132" s="419"/>
      <c r="AW132" s="419"/>
      <c r="AX132" s="419"/>
      <c r="AY132" s="419"/>
      <c r="AZ132" s="419"/>
      <c r="BA132" s="419"/>
      <c r="BB132" s="419"/>
      <c r="BC132" s="419"/>
      <c r="BD132" s="419"/>
      <c r="BE132" s="419"/>
      <c r="BF132" s="419"/>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row>
    <row r="133" spans="1:90"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445"/>
      <c r="AK133" s="445"/>
      <c r="AL133" s="445"/>
      <c r="AM133" s="445"/>
      <c r="AN133" s="419"/>
      <c r="AO133" s="419"/>
      <c r="AP133" s="419"/>
      <c r="AQ133" s="419"/>
      <c r="AR133" s="419"/>
      <c r="AS133" s="419"/>
      <c r="AT133" s="419"/>
      <c r="AU133" s="419"/>
      <c r="AV133" s="419"/>
      <c r="AW133" s="419"/>
      <c r="AX133" s="419"/>
      <c r="AY133" s="419"/>
      <c r="AZ133" s="419"/>
      <c r="BA133" s="419"/>
      <c r="BB133" s="419"/>
      <c r="BC133" s="419"/>
      <c r="BD133" s="419"/>
      <c r="BE133" s="419"/>
      <c r="BF133" s="419"/>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row>
    <row r="134" spans="1:90"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445"/>
      <c r="AK134" s="445"/>
      <c r="AL134" s="445"/>
      <c r="AM134" s="445"/>
      <c r="AN134" s="419"/>
      <c r="AO134" s="419"/>
      <c r="AP134" s="419"/>
      <c r="AQ134" s="419"/>
      <c r="AR134" s="419"/>
      <c r="AS134" s="419"/>
      <c r="AT134" s="419"/>
      <c r="AU134" s="419"/>
      <c r="AV134" s="419"/>
      <c r="AW134" s="419"/>
      <c r="AX134" s="419"/>
      <c r="AY134" s="419"/>
      <c r="AZ134" s="419"/>
      <c r="BA134" s="419"/>
      <c r="BB134" s="419"/>
      <c r="BC134" s="419"/>
      <c r="BD134" s="419"/>
      <c r="BE134" s="419"/>
      <c r="BF134" s="419"/>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row>
    <row r="135" spans="1:90"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445"/>
      <c r="AK135" s="445"/>
      <c r="AL135" s="445"/>
      <c r="AM135" s="445"/>
      <c r="AN135" s="419"/>
      <c r="AO135" s="419"/>
      <c r="AP135" s="419"/>
      <c r="AQ135" s="419"/>
      <c r="AR135" s="419"/>
      <c r="AS135" s="419"/>
      <c r="AT135" s="419"/>
      <c r="AU135" s="419"/>
      <c r="AV135" s="419"/>
      <c r="AW135" s="419"/>
      <c r="AX135" s="419"/>
      <c r="AY135" s="419"/>
      <c r="AZ135" s="419"/>
      <c r="BA135" s="419"/>
      <c r="BB135" s="419"/>
      <c r="BC135" s="419"/>
      <c r="BD135" s="419"/>
      <c r="BE135" s="419"/>
      <c r="BF135" s="419"/>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row>
    <row r="136" spans="1:90"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445"/>
      <c r="AK136" s="445"/>
      <c r="AL136" s="445"/>
      <c r="AM136" s="445"/>
      <c r="AN136" s="419"/>
      <c r="AO136" s="419"/>
      <c r="AP136" s="419"/>
      <c r="AQ136" s="419"/>
      <c r="AR136" s="419"/>
      <c r="AS136" s="419"/>
      <c r="AT136" s="419"/>
      <c r="AU136" s="419"/>
      <c r="AV136" s="419"/>
      <c r="AW136" s="419"/>
      <c r="AX136" s="419"/>
      <c r="AY136" s="419"/>
      <c r="AZ136" s="419"/>
      <c r="BA136" s="419"/>
      <c r="BB136" s="419"/>
      <c r="BC136" s="419"/>
      <c r="BD136" s="419"/>
      <c r="BE136" s="419"/>
      <c r="BF136" s="419"/>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row>
    <row r="137" spans="1:90"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445"/>
      <c r="AK137" s="445"/>
      <c r="AL137" s="445"/>
      <c r="AM137" s="445"/>
      <c r="AN137" s="419"/>
      <c r="AO137" s="419"/>
      <c r="AP137" s="419"/>
      <c r="AQ137" s="419"/>
      <c r="AR137" s="419"/>
      <c r="AS137" s="419"/>
      <c r="AT137" s="419"/>
      <c r="AU137" s="419"/>
      <c r="AV137" s="419"/>
      <c r="AW137" s="419"/>
      <c r="AX137" s="419"/>
      <c r="AY137" s="419"/>
      <c r="AZ137" s="419"/>
      <c r="BA137" s="419"/>
      <c r="BB137" s="419"/>
      <c r="BC137" s="419"/>
      <c r="BD137" s="419"/>
      <c r="BE137" s="419"/>
      <c r="BF137" s="419"/>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row>
    <row r="138" spans="1:90"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445"/>
      <c r="AK138" s="445"/>
      <c r="AL138" s="445"/>
      <c r="AM138" s="445"/>
      <c r="AN138" s="419"/>
      <c r="AO138" s="419"/>
      <c r="AP138" s="419"/>
      <c r="AQ138" s="419"/>
      <c r="AR138" s="419"/>
      <c r="AS138" s="419"/>
      <c r="AT138" s="419"/>
      <c r="AU138" s="419"/>
      <c r="AV138" s="419"/>
      <c r="AW138" s="419"/>
      <c r="AX138" s="419"/>
      <c r="AY138" s="419"/>
      <c r="AZ138" s="419"/>
      <c r="BA138" s="419"/>
      <c r="BB138" s="419"/>
      <c r="BC138" s="419"/>
      <c r="BD138" s="419"/>
      <c r="BE138" s="419"/>
      <c r="BF138" s="419"/>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row>
    <row r="139" spans="1:90"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445"/>
      <c r="AK139" s="445"/>
      <c r="AL139" s="445"/>
      <c r="AM139" s="445"/>
      <c r="AN139" s="419"/>
      <c r="AO139" s="419"/>
      <c r="AP139" s="419"/>
      <c r="AQ139" s="419"/>
      <c r="AR139" s="419"/>
      <c r="AS139" s="419"/>
      <c r="AT139" s="419"/>
      <c r="AU139" s="419"/>
      <c r="AV139" s="419"/>
      <c r="AW139" s="419"/>
      <c r="AX139" s="419"/>
      <c r="AY139" s="419"/>
      <c r="AZ139" s="419"/>
      <c r="BA139" s="419"/>
      <c r="BB139" s="419"/>
      <c r="BC139" s="419"/>
      <c r="BD139" s="419"/>
      <c r="BE139" s="419"/>
      <c r="BF139" s="419"/>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row>
    <row r="140" spans="1:90"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445"/>
      <c r="AK140" s="445"/>
      <c r="AL140" s="445"/>
      <c r="AM140" s="445"/>
      <c r="AN140" s="419"/>
      <c r="AO140" s="419"/>
      <c r="AP140" s="419"/>
      <c r="AQ140" s="419"/>
      <c r="AR140" s="419"/>
      <c r="AS140" s="419"/>
      <c r="AT140" s="419"/>
      <c r="AU140" s="419"/>
      <c r="AV140" s="419"/>
      <c r="AW140" s="419"/>
      <c r="AX140" s="419"/>
      <c r="AY140" s="419"/>
      <c r="AZ140" s="419"/>
      <c r="BA140" s="419"/>
      <c r="BB140" s="419"/>
      <c r="BC140" s="419"/>
      <c r="BD140" s="419"/>
      <c r="BE140" s="419"/>
      <c r="BF140" s="419"/>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row>
    <row r="141" spans="1:90"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445"/>
      <c r="AK141" s="445"/>
      <c r="AL141" s="445"/>
      <c r="AM141" s="445"/>
      <c r="AN141" s="419"/>
      <c r="AO141" s="419"/>
      <c r="AP141" s="419"/>
      <c r="AQ141" s="419"/>
      <c r="AR141" s="419"/>
      <c r="AS141" s="419"/>
      <c r="AT141" s="419"/>
      <c r="AU141" s="419"/>
      <c r="AV141" s="419"/>
      <c r="AW141" s="419"/>
      <c r="AX141" s="419"/>
      <c r="AY141" s="419"/>
      <c r="AZ141" s="419"/>
      <c r="BA141" s="419"/>
      <c r="BB141" s="419"/>
      <c r="BC141" s="419"/>
      <c r="BD141" s="419"/>
      <c r="BE141" s="419"/>
      <c r="BF141" s="419"/>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row>
    <row r="142" spans="1:90"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445"/>
      <c r="AK142" s="445"/>
      <c r="AL142" s="445"/>
      <c r="AM142" s="445"/>
      <c r="AN142" s="419"/>
      <c r="AO142" s="419"/>
      <c r="AP142" s="419"/>
      <c r="AQ142" s="419"/>
      <c r="AR142" s="419"/>
      <c r="AS142" s="419"/>
      <c r="AT142" s="419"/>
      <c r="AU142" s="419"/>
      <c r="AV142" s="419"/>
      <c r="AW142" s="419"/>
      <c r="AX142" s="419"/>
      <c r="AY142" s="419"/>
      <c r="AZ142" s="419"/>
      <c r="BA142" s="419"/>
      <c r="BB142" s="419"/>
      <c r="BC142" s="419"/>
      <c r="BD142" s="419"/>
      <c r="BE142" s="419"/>
      <c r="BF142" s="419"/>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row>
    <row r="143" spans="1:90"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445"/>
      <c r="AK143" s="445"/>
      <c r="AL143" s="445"/>
      <c r="AM143" s="445"/>
      <c r="AN143" s="419"/>
      <c r="AO143" s="419"/>
      <c r="AP143" s="419"/>
      <c r="AQ143" s="419"/>
      <c r="AR143" s="419"/>
      <c r="AS143" s="419"/>
      <c r="AT143" s="419"/>
      <c r="AU143" s="419"/>
      <c r="AV143" s="419"/>
      <c r="AW143" s="419"/>
      <c r="AX143" s="419"/>
      <c r="AY143" s="419"/>
      <c r="AZ143" s="419"/>
      <c r="BA143" s="419"/>
      <c r="BB143" s="419"/>
      <c r="BC143" s="419"/>
      <c r="BD143" s="419"/>
      <c r="BE143" s="419"/>
      <c r="BF143" s="419"/>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row>
    <row r="144" spans="1:90"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445"/>
      <c r="AK144" s="445"/>
      <c r="AL144" s="445"/>
      <c r="AM144" s="445"/>
      <c r="AN144" s="419"/>
      <c r="AO144" s="419"/>
      <c r="AP144" s="419"/>
      <c r="AQ144" s="419"/>
      <c r="AR144" s="419"/>
      <c r="AS144" s="419"/>
      <c r="AT144" s="419"/>
      <c r="AU144" s="419"/>
      <c r="AV144" s="419"/>
      <c r="AW144" s="419"/>
      <c r="AX144" s="419"/>
      <c r="AY144" s="419"/>
      <c r="AZ144" s="419"/>
      <c r="BA144" s="419"/>
      <c r="BB144" s="419"/>
      <c r="BC144" s="419"/>
      <c r="BD144" s="419"/>
      <c r="BE144" s="419"/>
      <c r="BF144" s="419"/>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row>
    <row r="145" spans="1:90"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445"/>
      <c r="AK145" s="445"/>
      <c r="AL145" s="445"/>
      <c r="AM145" s="445"/>
      <c r="AN145" s="419"/>
      <c r="AO145" s="419"/>
      <c r="AP145" s="419"/>
      <c r="AQ145" s="419"/>
      <c r="AR145" s="419"/>
      <c r="AS145" s="419"/>
      <c r="AT145" s="419"/>
      <c r="AU145" s="419"/>
      <c r="AV145" s="419"/>
      <c r="AW145" s="419"/>
      <c r="AX145" s="419"/>
      <c r="AY145" s="419"/>
      <c r="AZ145" s="419"/>
      <c r="BA145" s="419"/>
      <c r="BB145" s="419"/>
      <c r="BC145" s="419"/>
      <c r="BD145" s="419"/>
      <c r="BE145" s="419"/>
      <c r="BF145" s="419"/>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row>
    <row r="146" spans="1:90"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445"/>
      <c r="AK146" s="445"/>
      <c r="AL146" s="445"/>
      <c r="AM146" s="445"/>
      <c r="AN146" s="419"/>
      <c r="AO146" s="419"/>
      <c r="AP146" s="419"/>
      <c r="AQ146" s="419"/>
      <c r="AR146" s="419"/>
      <c r="AS146" s="419"/>
      <c r="AT146" s="419"/>
      <c r="AU146" s="419"/>
      <c r="AV146" s="419"/>
      <c r="AW146" s="419"/>
      <c r="AX146" s="419"/>
      <c r="AY146" s="419"/>
      <c r="AZ146" s="419"/>
      <c r="BA146" s="419"/>
      <c r="BB146" s="419"/>
      <c r="BC146" s="419"/>
      <c r="BD146" s="419"/>
      <c r="BE146" s="419"/>
      <c r="BF146" s="419"/>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row>
    <row r="147" spans="1:90"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445"/>
      <c r="AK147" s="445"/>
      <c r="AL147" s="445"/>
      <c r="AM147" s="445"/>
      <c r="AN147" s="419"/>
      <c r="AO147" s="419"/>
      <c r="AP147" s="419"/>
      <c r="AQ147" s="419"/>
      <c r="AR147" s="419"/>
      <c r="AS147" s="419"/>
      <c r="AT147" s="419"/>
      <c r="AU147" s="419"/>
      <c r="AV147" s="419"/>
      <c r="AW147" s="419"/>
      <c r="AX147" s="419"/>
      <c r="AY147" s="419"/>
      <c r="AZ147" s="419"/>
      <c r="BA147" s="419"/>
      <c r="BB147" s="419"/>
      <c r="BC147" s="419"/>
      <c r="BD147" s="419"/>
      <c r="BE147" s="419"/>
      <c r="BF147" s="419"/>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row>
    <row r="148" spans="1:90"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445"/>
      <c r="AK148" s="445"/>
      <c r="AL148" s="445"/>
      <c r="AM148" s="445"/>
      <c r="AN148" s="419"/>
      <c r="AO148" s="419"/>
      <c r="AP148" s="419"/>
      <c r="AQ148" s="419"/>
      <c r="AR148" s="419"/>
      <c r="AS148" s="419"/>
      <c r="AT148" s="419"/>
      <c r="AU148" s="419"/>
      <c r="AV148" s="419"/>
      <c r="AW148" s="419"/>
      <c r="AX148" s="419"/>
      <c r="AY148" s="419"/>
      <c r="AZ148" s="419"/>
      <c r="BA148" s="419"/>
      <c r="BB148" s="419"/>
      <c r="BC148" s="419"/>
      <c r="BD148" s="419"/>
      <c r="BE148" s="419"/>
      <c r="BF148" s="419"/>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row>
    <row r="149" spans="1:90"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445"/>
      <c r="AK149" s="445"/>
      <c r="AL149" s="445"/>
      <c r="AM149" s="445"/>
      <c r="AN149" s="419"/>
      <c r="AO149" s="419"/>
      <c r="AP149" s="419"/>
      <c r="AQ149" s="419"/>
      <c r="AR149" s="419"/>
      <c r="AS149" s="419"/>
      <c r="AT149" s="419"/>
      <c r="AU149" s="419"/>
      <c r="AV149" s="419"/>
      <c r="AW149" s="419"/>
      <c r="AX149" s="419"/>
      <c r="AY149" s="419"/>
      <c r="AZ149" s="419"/>
      <c r="BA149" s="419"/>
      <c r="BB149" s="419"/>
      <c r="BC149" s="419"/>
      <c r="BD149" s="419"/>
      <c r="BE149" s="419"/>
      <c r="BF149" s="419"/>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row>
    <row r="150" spans="1:90"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445"/>
      <c r="AK150" s="445"/>
      <c r="AL150" s="445"/>
      <c r="AM150" s="445"/>
      <c r="AN150" s="419"/>
      <c r="AO150" s="419"/>
      <c r="AP150" s="419"/>
      <c r="AQ150" s="419"/>
      <c r="AR150" s="419"/>
      <c r="AS150" s="419"/>
      <c r="AT150" s="419"/>
      <c r="AU150" s="419"/>
      <c r="AV150" s="419"/>
      <c r="AW150" s="419"/>
      <c r="AX150" s="419"/>
      <c r="AY150" s="419"/>
      <c r="AZ150" s="419"/>
      <c r="BA150" s="419"/>
      <c r="BB150" s="419"/>
      <c r="BC150" s="419"/>
      <c r="BD150" s="419"/>
      <c r="BE150" s="419"/>
      <c r="BF150" s="419"/>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row>
    <row r="151" spans="1:90"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445"/>
      <c r="AK151" s="445"/>
      <c r="AL151" s="445"/>
      <c r="AM151" s="445"/>
      <c r="AN151" s="419"/>
      <c r="AO151" s="419"/>
      <c r="AP151" s="419"/>
      <c r="AQ151" s="419"/>
      <c r="AR151" s="419"/>
      <c r="AS151" s="419"/>
      <c r="AT151" s="419"/>
      <c r="AU151" s="419"/>
      <c r="AV151" s="419"/>
      <c r="AW151" s="419"/>
      <c r="AX151" s="419"/>
      <c r="AY151" s="419"/>
      <c r="AZ151" s="419"/>
      <c r="BA151" s="419"/>
      <c r="BB151" s="419"/>
      <c r="BC151" s="419"/>
      <c r="BD151" s="419"/>
      <c r="BE151" s="419"/>
      <c r="BF151" s="419"/>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row>
    <row r="152" spans="1:90"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445"/>
      <c r="AK152" s="445"/>
      <c r="AL152" s="445"/>
      <c r="AM152" s="445"/>
      <c r="AN152" s="419"/>
      <c r="AO152" s="419"/>
      <c r="AP152" s="419"/>
      <c r="AQ152" s="419"/>
      <c r="AR152" s="419"/>
      <c r="AS152" s="419"/>
      <c r="AT152" s="419"/>
      <c r="AU152" s="419"/>
      <c r="AV152" s="419"/>
      <c r="AW152" s="419"/>
      <c r="AX152" s="419"/>
      <c r="AY152" s="419"/>
      <c r="AZ152" s="419"/>
      <c r="BA152" s="419"/>
      <c r="BB152" s="419"/>
      <c r="BC152" s="419"/>
      <c r="BD152" s="419"/>
      <c r="BE152" s="419"/>
      <c r="BF152" s="419"/>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row>
    <row r="153" spans="1:90"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445"/>
      <c r="AK153" s="445"/>
      <c r="AL153" s="445"/>
      <c r="AM153" s="445"/>
      <c r="AN153" s="419"/>
      <c r="AO153" s="419"/>
      <c r="AP153" s="419"/>
      <c r="AQ153" s="419"/>
      <c r="AR153" s="419"/>
      <c r="AS153" s="419"/>
      <c r="AT153" s="419"/>
      <c r="AU153" s="419"/>
      <c r="AV153" s="419"/>
      <c r="AW153" s="419"/>
      <c r="AX153" s="419"/>
      <c r="AY153" s="419"/>
      <c r="AZ153" s="419"/>
      <c r="BA153" s="419"/>
      <c r="BB153" s="419"/>
      <c r="BC153" s="419"/>
      <c r="BD153" s="419"/>
      <c r="BE153" s="419"/>
      <c r="BF153" s="419"/>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row>
    <row r="154" spans="1:90"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445"/>
      <c r="AK154" s="445"/>
      <c r="AL154" s="445"/>
      <c r="AM154" s="445"/>
      <c r="AN154" s="419"/>
      <c r="AO154" s="419"/>
      <c r="AP154" s="419"/>
      <c r="AQ154" s="419"/>
      <c r="AR154" s="419"/>
      <c r="AS154" s="419"/>
      <c r="AT154" s="419"/>
      <c r="AU154" s="419"/>
      <c r="AV154" s="419"/>
      <c r="AW154" s="419"/>
      <c r="AX154" s="419"/>
      <c r="AY154" s="419"/>
      <c r="AZ154" s="419"/>
      <c r="BA154" s="419"/>
      <c r="BB154" s="419"/>
      <c r="BC154" s="419"/>
      <c r="BD154" s="419"/>
      <c r="BE154" s="419"/>
      <c r="BF154" s="419"/>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row>
    <row r="155" spans="1:90"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445"/>
      <c r="AK155" s="445"/>
      <c r="AL155" s="445"/>
      <c r="AM155" s="445"/>
      <c r="AN155" s="419"/>
      <c r="AO155" s="419"/>
      <c r="AP155" s="419"/>
      <c r="AQ155" s="419"/>
      <c r="AR155" s="419"/>
      <c r="AS155" s="419"/>
      <c r="AT155" s="419"/>
      <c r="AU155" s="419"/>
      <c r="AV155" s="419"/>
      <c r="AW155" s="419"/>
      <c r="AX155" s="419"/>
      <c r="AY155" s="419"/>
      <c r="AZ155" s="419"/>
      <c r="BA155" s="419"/>
      <c r="BB155" s="419"/>
      <c r="BC155" s="419"/>
      <c r="BD155" s="419"/>
      <c r="BE155" s="419"/>
      <c r="BF155" s="419"/>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row>
    <row r="156" spans="1:90"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445"/>
      <c r="AK156" s="445"/>
      <c r="AL156" s="445"/>
      <c r="AM156" s="445"/>
      <c r="AN156" s="419"/>
      <c r="AO156" s="419"/>
      <c r="AP156" s="419"/>
      <c r="AQ156" s="419"/>
      <c r="AR156" s="419"/>
      <c r="AS156" s="419"/>
      <c r="AT156" s="419"/>
      <c r="AU156" s="419"/>
      <c r="AV156" s="419"/>
      <c r="AW156" s="419"/>
      <c r="AX156" s="419"/>
      <c r="AY156" s="419"/>
      <c r="AZ156" s="419"/>
      <c r="BA156" s="419"/>
      <c r="BB156" s="419"/>
      <c r="BC156" s="419"/>
      <c r="BD156" s="419"/>
      <c r="BE156" s="419"/>
      <c r="BF156" s="419"/>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row>
    <row r="157" spans="1:90"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445"/>
      <c r="AK157" s="445"/>
      <c r="AL157" s="445"/>
      <c r="AM157" s="445"/>
      <c r="AN157" s="419"/>
      <c r="AO157" s="419"/>
      <c r="AP157" s="419"/>
      <c r="AQ157" s="419"/>
      <c r="AR157" s="419"/>
      <c r="AS157" s="419"/>
      <c r="AT157" s="419"/>
      <c r="AU157" s="419"/>
      <c r="AV157" s="419"/>
      <c r="AW157" s="419"/>
      <c r="AX157" s="419"/>
      <c r="AY157" s="419"/>
      <c r="AZ157" s="419"/>
      <c r="BA157" s="419"/>
      <c r="BB157" s="419"/>
      <c r="BC157" s="419"/>
      <c r="BD157" s="419"/>
      <c r="BE157" s="419"/>
      <c r="BF157" s="419"/>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row>
    <row r="158" spans="1:90"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445"/>
      <c r="AK158" s="445"/>
      <c r="AL158" s="445"/>
      <c r="AM158" s="445"/>
      <c r="AN158" s="419"/>
      <c r="AO158" s="419"/>
      <c r="AP158" s="419"/>
      <c r="AQ158" s="419"/>
      <c r="AR158" s="419"/>
      <c r="AS158" s="419"/>
      <c r="AT158" s="419"/>
      <c r="AU158" s="419"/>
      <c r="AV158" s="419"/>
      <c r="AW158" s="419"/>
      <c r="AX158" s="419"/>
      <c r="AY158" s="419"/>
      <c r="AZ158" s="419"/>
      <c r="BA158" s="419"/>
      <c r="BB158" s="419"/>
      <c r="BC158" s="419"/>
      <c r="BD158" s="419"/>
      <c r="BE158" s="419"/>
      <c r="BF158" s="419"/>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row>
    <row r="159" spans="1:90"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445"/>
      <c r="AK159" s="445"/>
      <c r="AL159" s="445"/>
      <c r="AM159" s="445"/>
      <c r="AN159" s="419"/>
      <c r="AO159" s="419"/>
      <c r="AP159" s="419"/>
      <c r="AQ159" s="419"/>
      <c r="AR159" s="419"/>
      <c r="AS159" s="419"/>
      <c r="AT159" s="419"/>
      <c r="AU159" s="419"/>
      <c r="AV159" s="419"/>
      <c r="AW159" s="419"/>
      <c r="AX159" s="419"/>
      <c r="AY159" s="419"/>
      <c r="AZ159" s="419"/>
      <c r="BA159" s="419"/>
      <c r="BB159" s="419"/>
      <c r="BC159" s="419"/>
      <c r="BD159" s="419"/>
      <c r="BE159" s="419"/>
      <c r="BF159" s="419"/>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row>
    <row r="160" spans="1:90"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445"/>
      <c r="AK160" s="445"/>
      <c r="AL160" s="445"/>
      <c r="AM160" s="445"/>
      <c r="AN160" s="419"/>
      <c r="AO160" s="419"/>
      <c r="AP160" s="419"/>
      <c r="AQ160" s="419"/>
      <c r="AR160" s="419"/>
      <c r="AS160" s="419"/>
      <c r="AT160" s="419"/>
      <c r="AU160" s="419"/>
      <c r="AV160" s="419"/>
      <c r="AW160" s="419"/>
      <c r="AX160" s="419"/>
      <c r="AY160" s="419"/>
      <c r="AZ160" s="419"/>
      <c r="BA160" s="419"/>
      <c r="BB160" s="419"/>
      <c r="BC160" s="419"/>
      <c r="BD160" s="419"/>
      <c r="BE160" s="419"/>
      <c r="BF160" s="419"/>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row>
    <row r="161" spans="1:90"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445"/>
      <c r="AK161" s="445"/>
      <c r="AL161" s="445"/>
      <c r="AM161" s="445"/>
      <c r="AN161" s="419"/>
      <c r="AO161" s="419"/>
      <c r="AP161" s="419"/>
      <c r="AQ161" s="419"/>
      <c r="AR161" s="419"/>
      <c r="AS161" s="419"/>
      <c r="AT161" s="419"/>
      <c r="AU161" s="419"/>
      <c r="AV161" s="419"/>
      <c r="AW161" s="419"/>
      <c r="AX161" s="419"/>
      <c r="AY161" s="419"/>
      <c r="AZ161" s="419"/>
      <c r="BA161" s="419"/>
      <c r="BB161" s="419"/>
      <c r="BC161" s="419"/>
      <c r="BD161" s="419"/>
      <c r="BE161" s="419"/>
      <c r="BF161" s="419"/>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row>
    <row r="162" spans="1:90"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445"/>
      <c r="AK162" s="445"/>
      <c r="AL162" s="445"/>
      <c r="AM162" s="445"/>
      <c r="AN162" s="419"/>
      <c r="AO162" s="419"/>
      <c r="AP162" s="419"/>
      <c r="AQ162" s="419"/>
      <c r="AR162" s="419"/>
      <c r="AS162" s="419"/>
      <c r="AT162" s="419"/>
      <c r="AU162" s="419"/>
      <c r="AV162" s="419"/>
      <c r="AW162" s="419"/>
      <c r="AX162" s="419"/>
      <c r="AY162" s="419"/>
      <c r="AZ162" s="419"/>
      <c r="BA162" s="419"/>
      <c r="BB162" s="419"/>
      <c r="BC162" s="419"/>
      <c r="BD162" s="419"/>
      <c r="BE162" s="419"/>
      <c r="BF162" s="419"/>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row>
  </sheetData>
  <sheetProtection password="C62D" sheet="1" objects="1" scenarios="1" selectLockedCells="1" selectUnlockedCells="1"/>
  <protectedRanges>
    <protectedRange sqref="AI2" name="Диапазон2_2"/>
  </protectedRanges>
  <dataConsolidate/>
  <customSheetViews>
    <customSheetView guid="{BFE542F4-8A0C-4C42-A5CA-C7B0ACF2717E}" scale="90" hiddenRows="1" hiddenColumns="1" topLeftCell="C1">
      <selection activeCell="AA6" sqref="AA6"/>
      <pageMargins left="0.17" right="0.19" top="0.50749999999999995" bottom="0.17" header="0.17" footer="0.5"/>
      <pageSetup paperSize="9" scale="90" fitToWidth="0" fitToHeight="0" orientation="landscape" r:id="rId1"/>
      <headerFooter alignWithMargins="0">
        <oddHeader>&amp;CКГБУ "Региональный центр оценки качества образования"</oddHeader>
      </headerFooter>
    </customSheetView>
  </customSheetViews>
  <mergeCells count="23">
    <mergeCell ref="I2:K2"/>
    <mergeCell ref="L2:N2"/>
    <mergeCell ref="O2:P2"/>
    <mergeCell ref="C8:AM8"/>
    <mergeCell ref="K6:N6"/>
    <mergeCell ref="E2:H2"/>
    <mergeCell ref="C4:F4"/>
    <mergeCell ref="G4:AB4"/>
    <mergeCell ref="AF4:AI4"/>
    <mergeCell ref="AF5:AH5"/>
    <mergeCell ref="AF6:AH6"/>
    <mergeCell ref="B9:B11"/>
    <mergeCell ref="C9:C11"/>
    <mergeCell ref="AD9:AD11"/>
    <mergeCell ref="AC9:AC11"/>
    <mergeCell ref="D9:D11"/>
    <mergeCell ref="E9:E11"/>
    <mergeCell ref="F9:AB10"/>
    <mergeCell ref="AE9:AE11"/>
    <mergeCell ref="AF9:AF11"/>
    <mergeCell ref="AG9:AG11"/>
    <mergeCell ref="AH9:AH11"/>
    <mergeCell ref="AI9:AI11"/>
  </mergeCells>
  <phoneticPr fontId="0" type="noConversion"/>
  <conditionalFormatting sqref="F20:AB59">
    <cfRule type="expression" dxfId="2" priority="8" stopIfTrue="1">
      <formula>AND(OR($C20&lt;&gt;"",$D20&lt;&gt;""),$A20=1,ISBLANK(F20))</formula>
    </cfRule>
  </conditionalFormatting>
  <conditionalFormatting sqref="AI2">
    <cfRule type="cellIs" dxfId="1" priority="5" stopIfTrue="1" operator="equal">
      <formula>"НЕТ"</formula>
    </cfRule>
  </conditionalFormatting>
  <dataValidations xWindow="984" yWindow="219" count="2">
    <dataValidation type="list" operator="equal" allowBlank="1" showInputMessage="1" showErrorMessage="1" prompt="После внесения в таблицу данных для всех учащихся, принимавших участие в тестировании, выберите &quot;Да&quot;" sqref="AI2">
      <formula1>"ДА,НЕТ"</formula1>
    </dataValidation>
    <dataValidation allowBlank="1" showDropDown="1" showInputMessage="1" showErrorMessage="1" sqref="F20:AB59"/>
  </dataValidations>
  <pageMargins left="0.17" right="0.19" top="0.50749999999999995" bottom="0.17" header="0.17" footer="0.5"/>
  <pageSetup paperSize="9" scale="90" fitToWidth="0" fitToHeight="0" orientation="landscape" r:id="rId2"/>
  <headerFooter alignWithMargins="0">
    <oddHeader>&amp;CКГБУ "Региональный центр оценки качества образования"</oddHeader>
  </headerFooter>
  <ignoredErrors>
    <ignoredError sqref="K6 F20 F21:O59 V20:W20 J20 N20 O20 Y20 T20 AA20:AB20 L20:M20 H20 G20 I20 Z20 R20:S20 K20 X20 V21:AB59 U20:U59 Q20 Q21:T59 P20:P59" unlockedFormula="1"/>
    <ignoredError sqref="AJ20:AM59" evalError="1"/>
  </ignoredErrors>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36552DB7-5730-469D-9DD9-189EE7098BB0}">
            <xm:f>'СПИСОК КЛАССА'!$A$5&gt;0</xm:f>
            <x14:dxf>
              <font>
                <b/>
                <i val="0"/>
                <color rgb="FFFF0000"/>
              </font>
            </x14:dxf>
          </x14:cfRule>
          <xm:sqref>AN5:AQ5 AF4:AI6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6"/>
  <sheetViews>
    <sheetView view="pageLayout" zoomScaleNormal="100" workbookViewId="0">
      <selection activeCell="G10" sqref="G10"/>
    </sheetView>
  </sheetViews>
  <sheetFormatPr defaultColWidth="58.5703125" defaultRowHeight="12.75" x14ac:dyDescent="0.2"/>
  <cols>
    <col min="1" max="1" width="8.140625" style="51" customWidth="1"/>
    <col min="2" max="2" width="30.28515625" style="51" customWidth="1"/>
    <col min="3" max="3" width="43.5703125" style="51" customWidth="1"/>
    <col min="4" max="4" width="6.28515625" style="51" customWidth="1"/>
    <col min="5" max="5" width="7.85546875" style="51" customWidth="1"/>
    <col min="6" max="6" width="6.5703125" style="51" customWidth="1"/>
    <col min="7" max="7" width="8.42578125" style="51" customWidth="1"/>
    <col min="8" max="8" width="6.5703125" style="51" customWidth="1"/>
    <col min="9" max="9" width="9.28515625" style="51" customWidth="1"/>
    <col min="10" max="10" width="7" style="51" customWidth="1"/>
    <col min="11" max="11" width="7.140625" style="51" customWidth="1"/>
    <col min="12" max="234" width="9.140625" style="51" customWidth="1"/>
    <col min="235" max="235" width="5.5703125" style="51" customWidth="1"/>
    <col min="236" max="16384" width="58.5703125" style="51"/>
  </cols>
  <sheetData>
    <row r="1" spans="1:11" ht="15.75" x14ac:dyDescent="0.25">
      <c r="A1" s="597" t="s">
        <v>248</v>
      </c>
      <c r="B1" s="597"/>
      <c r="C1" s="597"/>
      <c r="D1" s="597"/>
      <c r="E1" s="597"/>
      <c r="F1" s="597"/>
      <c r="G1" s="597"/>
      <c r="H1" s="597"/>
      <c r="I1" s="597"/>
      <c r="J1" s="597"/>
      <c r="K1" s="597"/>
    </row>
    <row r="2" spans="1:11" ht="27.75" customHeight="1" x14ac:dyDescent="0.2">
      <c r="A2" s="233" t="s">
        <v>90</v>
      </c>
      <c r="B2" s="599">
        <f>'СПИСОК КЛАССА'!E3</f>
        <v>0</v>
      </c>
      <c r="C2" s="599"/>
      <c r="D2" s="599"/>
      <c r="E2" s="599"/>
      <c r="F2" s="599"/>
      <c r="G2" s="601" t="s">
        <v>91</v>
      </c>
      <c r="H2" s="601"/>
      <c r="I2" s="345" t="str">
        <f>'СПИСОК КЛАССА'!J1</f>
        <v>1001</v>
      </c>
      <c r="J2" s="346"/>
      <c r="K2" s="346"/>
    </row>
    <row r="3" spans="1:11" ht="20.25" customHeight="1" x14ac:dyDescent="0.2">
      <c r="A3" s="233"/>
      <c r="B3" s="237" t="str">
        <f>'Ответы учащихся'!D6</f>
        <v>Учащихся в классе:</v>
      </c>
      <c r="C3" s="347">
        <f>'Ответы учащихся'!E6</f>
        <v>34</v>
      </c>
      <c r="D3" s="601" t="str">
        <f>'Ответы учащихся'!D7</f>
        <v>Выполняло работу:</v>
      </c>
      <c r="E3" s="601"/>
      <c r="F3" s="601"/>
      <c r="G3" s="601"/>
      <c r="H3" s="347">
        <f>'Ответы учащихся'!E7</f>
        <v>34</v>
      </c>
      <c r="I3" s="345"/>
      <c r="J3" s="346"/>
      <c r="K3" s="346"/>
    </row>
    <row r="4" spans="1:11" ht="15" customHeight="1" x14ac:dyDescent="0.2">
      <c r="A4" s="233"/>
      <c r="B4" s="237" t="s">
        <v>241</v>
      </c>
      <c r="C4" s="348">
        <f>Результаты_Класс!AC18</f>
        <v>16.614705882352936</v>
      </c>
      <c r="D4" s="347"/>
      <c r="E4" s="347"/>
      <c r="F4" s="347"/>
      <c r="G4" s="237"/>
      <c r="H4" s="237"/>
      <c r="I4" s="345"/>
      <c r="J4" s="346"/>
      <c r="K4" s="346"/>
    </row>
    <row r="5" spans="1:11" ht="15" customHeight="1" x14ac:dyDescent="0.2">
      <c r="A5" s="233"/>
      <c r="B5" s="395" t="s">
        <v>242</v>
      </c>
      <c r="C5" s="396" t="s">
        <v>243</v>
      </c>
      <c r="D5" s="397">
        <f>Результаты_Класс!AI19+Результаты_Класс!AI18</f>
        <v>1</v>
      </c>
      <c r="E5" s="609" t="s">
        <v>244</v>
      </c>
      <c r="F5" s="609"/>
      <c r="G5" s="397">
        <f>Результаты_Класс!AI17</f>
        <v>20</v>
      </c>
      <c r="H5" s="609" t="s">
        <v>245</v>
      </c>
      <c r="I5" s="609"/>
      <c r="J5" s="609"/>
      <c r="K5" s="398">
        <f>Результаты_Класс!AI15+Результаты_Класс!AI16</f>
        <v>13</v>
      </c>
    </row>
    <row r="6" spans="1:11" ht="13.5" customHeight="1" x14ac:dyDescent="0.2">
      <c r="A6" s="233"/>
      <c r="B6" s="237"/>
      <c r="C6" s="349" t="s">
        <v>247</v>
      </c>
      <c r="D6" s="347"/>
      <c r="E6" s="237"/>
      <c r="F6" s="237"/>
      <c r="G6" s="347"/>
      <c r="H6" s="608" t="s">
        <v>246</v>
      </c>
      <c r="I6" s="608"/>
      <c r="J6" s="608"/>
      <c r="K6" s="608"/>
    </row>
    <row r="7" spans="1:11" ht="5.25" customHeight="1" thickBot="1" x14ac:dyDescent="0.3">
      <c r="A7" s="602"/>
      <c r="B7" s="602"/>
      <c r="C7" s="602"/>
      <c r="D7" s="602"/>
      <c r="E7" s="602"/>
      <c r="F7" s="602"/>
      <c r="G7" s="602"/>
      <c r="H7" s="602"/>
      <c r="I7" s="602"/>
      <c r="J7" s="602"/>
      <c r="K7" s="602"/>
    </row>
    <row r="8" spans="1:11" ht="46.5" customHeight="1" x14ac:dyDescent="0.2">
      <c r="A8" s="604" t="s">
        <v>87</v>
      </c>
      <c r="B8" s="598" t="s">
        <v>151</v>
      </c>
      <c r="C8" s="598" t="s">
        <v>249</v>
      </c>
      <c r="D8" s="606" t="s">
        <v>81</v>
      </c>
      <c r="E8" s="606" t="s">
        <v>88</v>
      </c>
      <c r="F8" s="598" t="s">
        <v>82</v>
      </c>
      <c r="G8" s="598"/>
      <c r="H8" s="598" t="s">
        <v>83</v>
      </c>
      <c r="I8" s="598"/>
      <c r="J8" s="598" t="s">
        <v>93</v>
      </c>
      <c r="K8" s="600"/>
    </row>
    <row r="9" spans="1:11" ht="28.5" customHeight="1" thickBot="1" x14ac:dyDescent="0.25">
      <c r="A9" s="605"/>
      <c r="B9" s="603"/>
      <c r="C9" s="603"/>
      <c r="D9" s="607"/>
      <c r="E9" s="607"/>
      <c r="F9" s="320" t="s">
        <v>84</v>
      </c>
      <c r="G9" s="320" t="s">
        <v>85</v>
      </c>
      <c r="H9" s="320" t="s">
        <v>84</v>
      </c>
      <c r="I9" s="320" t="s">
        <v>85</v>
      </c>
      <c r="J9" s="320" t="s">
        <v>84</v>
      </c>
      <c r="K9" s="165" t="s">
        <v>85</v>
      </c>
    </row>
    <row r="10" spans="1:11" ht="58.5" customHeight="1" x14ac:dyDescent="0.2">
      <c r="A10" s="296">
        <v>1</v>
      </c>
      <c r="B10" s="343" t="s">
        <v>194</v>
      </c>
      <c r="C10" s="343" t="s">
        <v>250</v>
      </c>
      <c r="D10" s="161" t="s">
        <v>86</v>
      </c>
      <c r="E10" s="161" t="s">
        <v>95</v>
      </c>
      <c r="F10" s="161">
        <f>Результаты_Класс!F17</f>
        <v>28</v>
      </c>
      <c r="G10" s="213">
        <f>F10/'Ответы учащихся'!$E$7</f>
        <v>0.82352941176470584</v>
      </c>
      <c r="H10" s="161">
        <f>Результаты_Класс!F18</f>
        <v>5</v>
      </c>
      <c r="I10" s="162">
        <f>H10/'Ответы учащихся'!$E$7</f>
        <v>0.14705882352941177</v>
      </c>
      <c r="J10" s="161">
        <f>Результаты_Класс!F19</f>
        <v>1</v>
      </c>
      <c r="K10" s="163">
        <f>J10/'Ответы учащихся'!$E$7</f>
        <v>2.9411764705882353E-2</v>
      </c>
    </row>
    <row r="11" spans="1:11" ht="28.35" customHeight="1" x14ac:dyDescent="0.2">
      <c r="A11" s="297">
        <v>2</v>
      </c>
      <c r="B11" s="343" t="s">
        <v>195</v>
      </c>
      <c r="C11" s="343"/>
      <c r="D11" s="157" t="s">
        <v>86</v>
      </c>
      <c r="E11" s="157" t="s">
        <v>95</v>
      </c>
      <c r="F11" s="157">
        <f>Результаты_Класс!G17</f>
        <v>31</v>
      </c>
      <c r="G11" s="52">
        <f>F11/'Ответы учащихся'!$E$7</f>
        <v>0.91176470588235292</v>
      </c>
      <c r="H11" s="157">
        <f>Результаты_Класс!G18</f>
        <v>3</v>
      </c>
      <c r="I11" s="52">
        <f>H11/'Ответы учащихся'!$E$7</f>
        <v>8.8235294117647065E-2</v>
      </c>
      <c r="J11" s="157">
        <f>Результаты_Класс!G19</f>
        <v>0</v>
      </c>
      <c r="K11" s="164">
        <f>J11/'Ответы учащихся'!$E$7</f>
        <v>0</v>
      </c>
    </row>
    <row r="12" spans="1:11" ht="42.75" customHeight="1" x14ac:dyDescent="0.2">
      <c r="A12" s="297">
        <v>3</v>
      </c>
      <c r="B12" s="343" t="s">
        <v>196</v>
      </c>
      <c r="C12" s="343" t="s">
        <v>251</v>
      </c>
      <c r="D12" s="157" t="s">
        <v>86</v>
      </c>
      <c r="E12" s="157" t="s">
        <v>95</v>
      </c>
      <c r="F12" s="157">
        <f>Результаты_Класс!H17</f>
        <v>31</v>
      </c>
      <c r="G12" s="52">
        <f>F12/'Ответы учащихся'!$E$7</f>
        <v>0.91176470588235292</v>
      </c>
      <c r="H12" s="157">
        <f>Результаты_Класс!H18</f>
        <v>3</v>
      </c>
      <c r="I12" s="52">
        <f>H12/'Ответы учащихся'!$E$7</f>
        <v>8.8235294117647065E-2</v>
      </c>
      <c r="J12" s="157">
        <f>Результаты_Класс!H19</f>
        <v>0</v>
      </c>
      <c r="K12" s="164">
        <f>J12/'Ответы учащихся'!$E$7</f>
        <v>0</v>
      </c>
    </row>
    <row r="13" spans="1:11" ht="28.35" customHeight="1" x14ac:dyDescent="0.2">
      <c r="A13" s="297">
        <v>4</v>
      </c>
      <c r="B13" s="343" t="s">
        <v>197</v>
      </c>
      <c r="C13" s="343" t="s">
        <v>252</v>
      </c>
      <c r="D13" s="157" t="s">
        <v>86</v>
      </c>
      <c r="E13" s="157" t="s">
        <v>95</v>
      </c>
      <c r="F13" s="157">
        <f>Результаты_Класс!I17</f>
        <v>33</v>
      </c>
      <c r="G13" s="52">
        <f>F13/'Ответы учащихся'!$E$7</f>
        <v>0.97058823529411764</v>
      </c>
      <c r="H13" s="157">
        <f>Результаты_Класс!I18</f>
        <v>1</v>
      </c>
      <c r="I13" s="52">
        <f>H13/'Ответы учащихся'!$E$7</f>
        <v>2.9411764705882353E-2</v>
      </c>
      <c r="J13" s="157">
        <f>Результаты_Класс!I19</f>
        <v>0</v>
      </c>
      <c r="K13" s="164">
        <f>J13/'Ответы учащихся'!$E$7</f>
        <v>0</v>
      </c>
    </row>
    <row r="14" spans="1:11" ht="39.75" customHeight="1" x14ac:dyDescent="0.2">
      <c r="A14" s="297">
        <v>5</v>
      </c>
      <c r="B14" s="343" t="s">
        <v>198</v>
      </c>
      <c r="C14" s="343" t="s">
        <v>253</v>
      </c>
      <c r="D14" s="157" t="s">
        <v>86</v>
      </c>
      <c r="E14" s="157" t="s">
        <v>95</v>
      </c>
      <c r="F14" s="157">
        <f>Результаты_Класс!J17</f>
        <v>27</v>
      </c>
      <c r="G14" s="52">
        <f>F14/'Ответы учащихся'!$E$7</f>
        <v>0.79411764705882348</v>
      </c>
      <c r="H14" s="157">
        <f>Результаты_Класс!J18</f>
        <v>7</v>
      </c>
      <c r="I14" s="52">
        <f>H14/'Ответы учащихся'!$E$7</f>
        <v>0.20588235294117646</v>
      </c>
      <c r="J14" s="157">
        <f>Результаты_Класс!J19</f>
        <v>0</v>
      </c>
      <c r="K14" s="164">
        <f>J14/'Ответы учащихся'!$E$7</f>
        <v>0</v>
      </c>
    </row>
    <row r="15" spans="1:11" ht="28.35" customHeight="1" x14ac:dyDescent="0.2">
      <c r="A15" s="297">
        <v>6</v>
      </c>
      <c r="B15" s="343" t="s">
        <v>199</v>
      </c>
      <c r="C15" s="343" t="s">
        <v>254</v>
      </c>
      <c r="D15" s="157" t="s">
        <v>86</v>
      </c>
      <c r="E15" s="157" t="s">
        <v>95</v>
      </c>
      <c r="F15" s="157">
        <f>Результаты_Класс!K17</f>
        <v>28</v>
      </c>
      <c r="G15" s="52">
        <f>F15/'Ответы учащихся'!$E$7</f>
        <v>0.82352941176470584</v>
      </c>
      <c r="H15" s="157">
        <f>Результаты_Класс!K18</f>
        <v>6</v>
      </c>
      <c r="I15" s="52">
        <f>H15/'Ответы учащихся'!$E$7</f>
        <v>0.17647058823529413</v>
      </c>
      <c r="J15" s="157">
        <f>Результаты_Класс!K19</f>
        <v>0</v>
      </c>
      <c r="K15" s="164">
        <f>J15/'Ответы учащихся'!$E$7</f>
        <v>0</v>
      </c>
    </row>
    <row r="16" spans="1:11" ht="21.75" customHeight="1" x14ac:dyDescent="0.2">
      <c r="A16" s="297">
        <v>7</v>
      </c>
      <c r="B16" s="344" t="s">
        <v>200</v>
      </c>
      <c r="C16" s="344" t="s">
        <v>256</v>
      </c>
      <c r="D16" s="157" t="s">
        <v>86</v>
      </c>
      <c r="E16" s="157" t="s">
        <v>95</v>
      </c>
      <c r="F16" s="157">
        <f>Результаты_Класс!L17</f>
        <v>32</v>
      </c>
      <c r="G16" s="52">
        <f>F16/'Ответы учащихся'!$E$7</f>
        <v>0.94117647058823528</v>
      </c>
      <c r="H16" s="157">
        <f>Результаты_Класс!L18</f>
        <v>2</v>
      </c>
      <c r="I16" s="52">
        <f>H16/'Ответы учащихся'!$E$7</f>
        <v>5.8823529411764705E-2</v>
      </c>
      <c r="J16" s="157">
        <f>Результаты_Класс!L19</f>
        <v>0</v>
      </c>
      <c r="K16" s="164">
        <f>J16/'Ответы учащихся'!$E$7</f>
        <v>0</v>
      </c>
    </row>
    <row r="17" spans="1:11" ht="53.25" customHeight="1" x14ac:dyDescent="0.2">
      <c r="A17" s="297">
        <v>8</v>
      </c>
      <c r="B17" s="344" t="s">
        <v>201</v>
      </c>
      <c r="C17" s="344" t="s">
        <v>255</v>
      </c>
      <c r="D17" s="157" t="s">
        <v>86</v>
      </c>
      <c r="E17" s="157" t="s">
        <v>95</v>
      </c>
      <c r="F17" s="157">
        <f>Результаты_Класс!M17</f>
        <v>28</v>
      </c>
      <c r="G17" s="52">
        <f>F17/'Ответы учащихся'!$E$7</f>
        <v>0.82352941176470584</v>
      </c>
      <c r="H17" s="157">
        <f>Результаты_Класс!M18</f>
        <v>4</v>
      </c>
      <c r="I17" s="52">
        <f>H17/'Ответы учащихся'!$E$7</f>
        <v>0.11764705882352941</v>
      </c>
      <c r="J17" s="157">
        <f>Результаты_Класс!M19</f>
        <v>2</v>
      </c>
      <c r="K17" s="164">
        <f>J17/'Ответы учащихся'!$E$7</f>
        <v>5.8823529411764705E-2</v>
      </c>
    </row>
    <row r="18" spans="1:11" ht="43.5" customHeight="1" x14ac:dyDescent="0.2">
      <c r="A18" s="297">
        <v>9</v>
      </c>
      <c r="B18" s="343" t="s">
        <v>202</v>
      </c>
      <c r="C18" s="343" t="s">
        <v>257</v>
      </c>
      <c r="D18" s="157" t="s">
        <v>86</v>
      </c>
      <c r="E18" s="157" t="s">
        <v>95</v>
      </c>
      <c r="F18" s="157">
        <f>Результаты_Класс!N17</f>
        <v>15</v>
      </c>
      <c r="G18" s="52">
        <f>F18/'Ответы учащихся'!$E$7</f>
        <v>0.44117647058823528</v>
      </c>
      <c r="H18" s="157">
        <f>Результаты_Класс!N18</f>
        <v>18</v>
      </c>
      <c r="I18" s="52">
        <f>H18/'Ответы учащихся'!$E$7</f>
        <v>0.52941176470588236</v>
      </c>
      <c r="J18" s="157">
        <f>Результаты_Класс!N19</f>
        <v>1</v>
      </c>
      <c r="K18" s="164">
        <f>J18/'Ответы учащихся'!$E$7</f>
        <v>2.9411764705882353E-2</v>
      </c>
    </row>
    <row r="19" spans="1:11" ht="72" customHeight="1" x14ac:dyDescent="0.2">
      <c r="A19" s="297">
        <v>10</v>
      </c>
      <c r="B19" s="344" t="s">
        <v>203</v>
      </c>
      <c r="C19" s="343" t="s">
        <v>258</v>
      </c>
      <c r="D19" s="157" t="s">
        <v>86</v>
      </c>
      <c r="E19" s="157" t="s">
        <v>95</v>
      </c>
      <c r="F19" s="157">
        <f>Результаты_Класс!O17</f>
        <v>30</v>
      </c>
      <c r="G19" s="52">
        <f>F19/'Ответы учащихся'!$E$7</f>
        <v>0.88235294117647056</v>
      </c>
      <c r="H19" s="157">
        <f>Результаты_Класс!O18</f>
        <v>4</v>
      </c>
      <c r="I19" s="52">
        <f>H19/'Ответы учащихся'!$E$7</f>
        <v>0.11764705882352941</v>
      </c>
      <c r="J19" s="157">
        <f>Результаты_Класс!O19</f>
        <v>0</v>
      </c>
      <c r="K19" s="164">
        <f>J19/'Ответы учащихся'!$E$7</f>
        <v>0</v>
      </c>
    </row>
    <row r="20" spans="1:11" ht="38.25" customHeight="1" x14ac:dyDescent="0.2">
      <c r="A20" s="297">
        <v>11</v>
      </c>
      <c r="B20" s="343" t="s">
        <v>204</v>
      </c>
      <c r="C20" s="343" t="s">
        <v>259</v>
      </c>
      <c r="D20" s="157" t="s">
        <v>86</v>
      </c>
      <c r="E20" s="157" t="s">
        <v>95</v>
      </c>
      <c r="F20" s="157">
        <f>Результаты_Класс!P17</f>
        <v>21</v>
      </c>
      <c r="G20" s="52">
        <f>F20/'Ответы учащихся'!$E$7</f>
        <v>0.61764705882352944</v>
      </c>
      <c r="H20" s="157">
        <f>Результаты_Класс!P18</f>
        <v>12</v>
      </c>
      <c r="I20" s="52">
        <f>H20/'Ответы учащихся'!$E$7</f>
        <v>0.35294117647058826</v>
      </c>
      <c r="J20" s="157">
        <f>Результаты_Класс!P19</f>
        <v>1</v>
      </c>
      <c r="K20" s="164">
        <f>J20/'Ответы учащихся'!$E$7</f>
        <v>2.9411764705882353E-2</v>
      </c>
    </row>
    <row r="21" spans="1:11" ht="49.5" customHeight="1" x14ac:dyDescent="0.2">
      <c r="A21" s="297">
        <v>12</v>
      </c>
      <c r="B21" s="343" t="s">
        <v>205</v>
      </c>
      <c r="C21" s="343" t="s">
        <v>260</v>
      </c>
      <c r="D21" s="157" t="s">
        <v>86</v>
      </c>
      <c r="E21" s="157" t="s">
        <v>95</v>
      </c>
      <c r="F21" s="157">
        <f>Результаты_Класс!Q17</f>
        <v>25</v>
      </c>
      <c r="G21" s="52">
        <f>F21/'Ответы учащихся'!$E$7</f>
        <v>0.73529411764705888</v>
      </c>
      <c r="H21" s="157">
        <f>Результаты_Класс!Q18</f>
        <v>8</v>
      </c>
      <c r="I21" s="52">
        <f>H21/'Ответы учащихся'!$E$7</f>
        <v>0.23529411764705882</v>
      </c>
      <c r="J21" s="157">
        <f>Результаты_Класс!Q19</f>
        <v>1</v>
      </c>
      <c r="K21" s="164">
        <f>J21/'Ответы учащихся'!$E$7</f>
        <v>2.9411764705882353E-2</v>
      </c>
    </row>
    <row r="22" spans="1:11" ht="71.25" customHeight="1" x14ac:dyDescent="0.2">
      <c r="A22" s="351">
        <v>13</v>
      </c>
      <c r="B22" s="344" t="s">
        <v>206</v>
      </c>
      <c r="C22" s="343" t="s">
        <v>261</v>
      </c>
      <c r="D22" s="157" t="s">
        <v>86</v>
      </c>
      <c r="E22" s="157" t="s">
        <v>95</v>
      </c>
      <c r="F22" s="157">
        <f>Результаты_Класс!R17</f>
        <v>28</v>
      </c>
      <c r="G22" s="52">
        <f>F22/'Ответы учащихся'!$E$7</f>
        <v>0.82352941176470584</v>
      </c>
      <c r="H22" s="157">
        <f>Результаты_Класс!R18</f>
        <v>3</v>
      </c>
      <c r="I22" s="52">
        <f>H22/'Ответы учащихся'!$E$7</f>
        <v>8.8235294117647065E-2</v>
      </c>
      <c r="J22" s="157">
        <f>Результаты_Класс!R19</f>
        <v>3</v>
      </c>
      <c r="K22" s="164">
        <f>J22/'Ответы учащихся'!$E$7</f>
        <v>8.8235294117647065E-2</v>
      </c>
    </row>
    <row r="23" spans="1:11" ht="42.75" customHeight="1" x14ac:dyDescent="0.2">
      <c r="A23" s="319">
        <v>14</v>
      </c>
      <c r="B23" s="343" t="s">
        <v>207</v>
      </c>
      <c r="C23" s="343" t="s">
        <v>262</v>
      </c>
      <c r="D23" s="160" t="s">
        <v>86</v>
      </c>
      <c r="E23" s="318" t="s">
        <v>95</v>
      </c>
      <c r="F23" s="157">
        <f>Результаты_Класс!S17</f>
        <v>25</v>
      </c>
      <c r="G23" s="52">
        <f>F23/'Ответы учащихся'!$E$7</f>
        <v>0.73529411764705888</v>
      </c>
      <c r="H23" s="157">
        <f>Результаты_Класс!S$18</f>
        <v>4</v>
      </c>
      <c r="I23" s="52">
        <f>H23/'Ответы учащихся'!$E$7</f>
        <v>0.11764705882352941</v>
      </c>
      <c r="J23" s="157">
        <f>Результаты_Класс!S19</f>
        <v>5</v>
      </c>
      <c r="K23" s="164">
        <f>J23/'Ответы учащихся'!$E$7</f>
        <v>0.14705882352941177</v>
      </c>
    </row>
    <row r="24" spans="1:11" ht="40.5" customHeight="1" x14ac:dyDescent="0.2">
      <c r="A24" s="351">
        <v>15</v>
      </c>
      <c r="B24" s="344" t="s">
        <v>208</v>
      </c>
      <c r="C24" s="344" t="s">
        <v>263</v>
      </c>
      <c r="D24" s="157" t="s">
        <v>86</v>
      </c>
      <c r="E24" s="157" t="s">
        <v>95</v>
      </c>
      <c r="F24" s="157">
        <f>Результаты_Класс!T17</f>
        <v>0</v>
      </c>
      <c r="G24" s="52">
        <f>F24/'Ответы учащихся'!$E$7</f>
        <v>0</v>
      </c>
      <c r="H24" s="157">
        <f>Результаты_Класс!T$18</f>
        <v>33</v>
      </c>
      <c r="I24" s="52">
        <f>H24/'Ответы учащихся'!$E$7</f>
        <v>0.97058823529411764</v>
      </c>
      <c r="J24" s="157">
        <f>Результаты_Класс!T19</f>
        <v>1</v>
      </c>
      <c r="K24" s="164">
        <f>J24/'Ответы учащихся'!$E$7</f>
        <v>2.9411764705882353E-2</v>
      </c>
    </row>
    <row r="25" spans="1:11" ht="32.25" customHeight="1" x14ac:dyDescent="0.2">
      <c r="A25" s="298">
        <v>16</v>
      </c>
      <c r="B25" s="344" t="s">
        <v>209</v>
      </c>
      <c r="C25" s="344" t="s">
        <v>264</v>
      </c>
      <c r="D25" s="157" t="s">
        <v>86</v>
      </c>
      <c r="E25" s="157" t="s">
        <v>95</v>
      </c>
      <c r="F25" s="157">
        <f>Результаты_Класс!U17</f>
        <v>26</v>
      </c>
      <c r="G25" s="52">
        <f>F25/'Ответы учащихся'!$E$7</f>
        <v>0.76470588235294112</v>
      </c>
      <c r="H25" s="157">
        <f>Результаты_Класс!U18</f>
        <v>6</v>
      </c>
      <c r="I25" s="52">
        <f>H25/'Ответы учащихся'!$E$7</f>
        <v>0.17647058823529413</v>
      </c>
      <c r="J25" s="157">
        <f>Результаты_Класс!U19</f>
        <v>2</v>
      </c>
      <c r="K25" s="52">
        <f>J25/'Ответы учащихся'!$E$7</f>
        <v>5.8823529411764705E-2</v>
      </c>
    </row>
    <row r="26" spans="1:11" ht="41.25" customHeight="1" x14ac:dyDescent="0.2">
      <c r="A26" s="319">
        <v>17</v>
      </c>
      <c r="B26" s="343" t="s">
        <v>210</v>
      </c>
      <c r="C26" s="343" t="s">
        <v>265</v>
      </c>
      <c r="D26" s="160" t="s">
        <v>86</v>
      </c>
      <c r="E26" s="318" t="s">
        <v>95</v>
      </c>
      <c r="F26" s="157">
        <f>Результаты_Класс!V17</f>
        <v>33</v>
      </c>
      <c r="G26" s="52">
        <f>F26/'Ответы учащихся'!$E$7</f>
        <v>0.97058823529411764</v>
      </c>
      <c r="H26" s="318">
        <f>Результаты_Класс!V18</f>
        <v>0</v>
      </c>
      <c r="I26" s="52">
        <f>H26/'Ответы учащихся'!$E$7</f>
        <v>0</v>
      </c>
      <c r="J26" s="318">
        <f>Результаты_Класс!V19</f>
        <v>1</v>
      </c>
      <c r="K26" s="164">
        <f>J26/'Ответы учащихся'!$E$7</f>
        <v>2.9411764705882353E-2</v>
      </c>
    </row>
    <row r="27" spans="1:11" ht="30.75" customHeight="1" x14ac:dyDescent="0.2">
      <c r="A27" s="319">
        <v>18</v>
      </c>
      <c r="B27" s="343" t="s">
        <v>211</v>
      </c>
      <c r="C27" s="343" t="s">
        <v>266</v>
      </c>
      <c r="D27" s="160" t="s">
        <v>86</v>
      </c>
      <c r="E27" s="318" t="s">
        <v>95</v>
      </c>
      <c r="F27" s="157">
        <f>Результаты_Класс!W17</f>
        <v>32</v>
      </c>
      <c r="G27" s="52">
        <f>F27/'Ответы учащихся'!$E$7</f>
        <v>0.94117647058823528</v>
      </c>
      <c r="H27" s="318">
        <f>Результаты_Класс!W18</f>
        <v>1</v>
      </c>
      <c r="I27" s="52">
        <f>H27/'Ответы учащихся'!$E$7</f>
        <v>2.9411764705882353E-2</v>
      </c>
      <c r="J27" s="318">
        <f>Результаты_Класс!W19</f>
        <v>1</v>
      </c>
      <c r="K27" s="164">
        <f>J27/'Ответы учащихся'!$E$7</f>
        <v>2.9411764705882353E-2</v>
      </c>
    </row>
    <row r="28" spans="1:11" ht="36" customHeight="1" x14ac:dyDescent="0.2">
      <c r="A28" s="616">
        <v>19</v>
      </c>
      <c r="B28" s="612" t="s">
        <v>212</v>
      </c>
      <c r="C28" s="612" t="s">
        <v>267</v>
      </c>
      <c r="D28" s="590" t="s">
        <v>89</v>
      </c>
      <c r="E28" s="318" t="s">
        <v>94</v>
      </c>
      <c r="F28" s="157">
        <f>Результаты_Класс!Y13</f>
        <v>10</v>
      </c>
      <c r="G28" s="52">
        <f>F28/'Ответы учащихся'!$E$7</f>
        <v>0.29411764705882354</v>
      </c>
      <c r="H28" s="590">
        <f>Результаты_Класс!Y18</f>
        <v>0</v>
      </c>
      <c r="I28" s="594">
        <f>H28/'Ответы учащихся'!$E$7</f>
        <v>0</v>
      </c>
      <c r="J28" s="590">
        <f>Результаты_Класс!Y19</f>
        <v>8</v>
      </c>
      <c r="K28" s="588">
        <f>J28/'Ответы учащихся'!$E$7</f>
        <v>0.23529411764705882</v>
      </c>
    </row>
    <row r="29" spans="1:11" ht="40.5" customHeight="1" x14ac:dyDescent="0.2">
      <c r="A29" s="617"/>
      <c r="B29" s="618"/>
      <c r="C29" s="618"/>
      <c r="D29" s="593"/>
      <c r="E29" s="350" t="s">
        <v>270</v>
      </c>
      <c r="F29" s="157">
        <f>Результаты_Класс!Y14+Результаты_Класс!Y15+Результаты_Класс!Y16+Результаты_Класс!Y17</f>
        <v>16</v>
      </c>
      <c r="G29" s="52">
        <f>F29/'Ответы учащихся'!$E$7</f>
        <v>0.47058823529411764</v>
      </c>
      <c r="H29" s="593"/>
      <c r="I29" s="595"/>
      <c r="J29" s="593"/>
      <c r="K29" s="589"/>
    </row>
    <row r="30" spans="1:11" ht="18" customHeight="1" x14ac:dyDescent="0.2">
      <c r="A30" s="616">
        <v>20</v>
      </c>
      <c r="B30" s="612" t="s">
        <v>213</v>
      </c>
      <c r="C30" s="612" t="s">
        <v>268</v>
      </c>
      <c r="D30" s="590" t="s">
        <v>89</v>
      </c>
      <c r="E30" s="318" t="s">
        <v>94</v>
      </c>
      <c r="F30" s="157">
        <f>Результаты_Класс!AA14</f>
        <v>17</v>
      </c>
      <c r="G30" s="52">
        <f>F30/'Ответы учащихся'!$E$7</f>
        <v>0.5</v>
      </c>
      <c r="H30" s="590">
        <f>Результаты_Класс!AA18</f>
        <v>0</v>
      </c>
      <c r="I30" s="594">
        <f>H30/'Ответы учащихся'!$E$7</f>
        <v>0</v>
      </c>
      <c r="J30" s="590">
        <f>Результаты_Класс!AA19</f>
        <v>15</v>
      </c>
      <c r="K30" s="588">
        <f>J30/'Ответы учащихся'!$E$7</f>
        <v>0.44117647058823528</v>
      </c>
    </row>
    <row r="31" spans="1:11" ht="27.75" customHeight="1" x14ac:dyDescent="0.2">
      <c r="A31" s="617"/>
      <c r="B31" s="618"/>
      <c r="C31" s="618"/>
      <c r="D31" s="593"/>
      <c r="E31" s="350" t="s">
        <v>271</v>
      </c>
      <c r="F31" s="157">
        <f>Результаты_Класс!AA15+Результаты_Класс!AA16+Результаты_Класс!AA17</f>
        <v>2</v>
      </c>
      <c r="G31" s="52">
        <f>F31/'Ответы учащихся'!$E$7</f>
        <v>5.8823529411764705E-2</v>
      </c>
      <c r="H31" s="593"/>
      <c r="I31" s="595"/>
      <c r="J31" s="593"/>
      <c r="K31" s="589"/>
    </row>
    <row r="32" spans="1:11" ht="21" customHeight="1" x14ac:dyDescent="0.2">
      <c r="A32" s="610">
        <v>21</v>
      </c>
      <c r="B32" s="612" t="s">
        <v>214</v>
      </c>
      <c r="C32" s="614" t="s">
        <v>269</v>
      </c>
      <c r="D32" s="590" t="s">
        <v>89</v>
      </c>
      <c r="E32" s="318" t="s">
        <v>94</v>
      </c>
      <c r="F32" s="157">
        <f>Результаты_Класс!AB14</f>
        <v>10</v>
      </c>
      <c r="G32" s="52">
        <f>F32/'Ответы учащихся'!$E$7</f>
        <v>0.29411764705882354</v>
      </c>
      <c r="H32" s="590">
        <f>Результаты_Класс!AB18</f>
        <v>0</v>
      </c>
      <c r="I32" s="594">
        <f>H32/'Ответы учащихся'!$E$7</f>
        <v>0</v>
      </c>
      <c r="J32" s="590">
        <f>Результаты_Класс!AB19</f>
        <v>22</v>
      </c>
      <c r="K32" s="588">
        <f>J32/'Ответы учащихся'!$E$7</f>
        <v>0.6470588235294118</v>
      </c>
    </row>
    <row r="33" spans="1:11" ht="37.5" customHeight="1" thickBot="1" x14ac:dyDescent="0.25">
      <c r="A33" s="611"/>
      <c r="B33" s="613"/>
      <c r="C33" s="615"/>
      <c r="D33" s="591"/>
      <c r="E33" s="352" t="s">
        <v>271</v>
      </c>
      <c r="F33" s="353">
        <f>Результаты_Класс!AB15+Результаты_Класс!AB16+Результаты_Класс!AB17</f>
        <v>2</v>
      </c>
      <c r="G33" s="354">
        <f>F33/'Ответы учащихся'!$E$7</f>
        <v>5.8823529411764705E-2</v>
      </c>
      <c r="H33" s="591"/>
      <c r="I33" s="596"/>
      <c r="J33" s="591"/>
      <c r="K33" s="592"/>
    </row>
    <row r="34" spans="1:11" x14ac:dyDescent="0.2">
      <c r="D34" s="295"/>
    </row>
    <row r="35" spans="1:11" x14ac:dyDescent="0.2">
      <c r="D35" s="295"/>
    </row>
    <row r="36" spans="1:11" x14ac:dyDescent="0.2">
      <c r="D36" s="295"/>
    </row>
  </sheetData>
  <sheetProtection password="C62D" sheet="1" objects="1" scenarios="1" selectLockedCells="1" selectUnlockedCells="1"/>
  <customSheetViews>
    <customSheetView guid="{BFE542F4-8A0C-4C42-A5CA-C7B0ACF2717E}">
      <selection activeCell="AA6" sqref="AA6"/>
      <pageMargins left="0.23622047244094491" right="0.23622047244094491" top="0.74803149606299213" bottom="0.74803149606299213" header="0.31496062992125984" footer="0.31496062992125984"/>
      <pageSetup paperSize="9" orientation="landscape" verticalDpi="0" r:id="rId1"/>
      <headerFooter>
        <oddHeader>&amp;CКГБУ "Региональный центр оценки качества образования"</oddHeader>
      </headerFooter>
    </customSheetView>
  </customSheetViews>
  <mergeCells count="40">
    <mergeCell ref="A32:A33"/>
    <mergeCell ref="B32:B33"/>
    <mergeCell ref="C32:C33"/>
    <mergeCell ref="D32:D33"/>
    <mergeCell ref="A28:A29"/>
    <mergeCell ref="B28:B29"/>
    <mergeCell ref="C28:C29"/>
    <mergeCell ref="A30:A31"/>
    <mergeCell ref="B30:B31"/>
    <mergeCell ref="C30:C31"/>
    <mergeCell ref="D28:D29"/>
    <mergeCell ref="D30:D31"/>
    <mergeCell ref="A1:K1"/>
    <mergeCell ref="F8:G8"/>
    <mergeCell ref="H8:I8"/>
    <mergeCell ref="B2:F2"/>
    <mergeCell ref="J8:K8"/>
    <mergeCell ref="G2:H2"/>
    <mergeCell ref="A7:K7"/>
    <mergeCell ref="C8:C9"/>
    <mergeCell ref="A8:A9"/>
    <mergeCell ref="B8:B9"/>
    <mergeCell ref="E8:E9"/>
    <mergeCell ref="D8:D9"/>
    <mergeCell ref="H6:K6"/>
    <mergeCell ref="D3:G3"/>
    <mergeCell ref="E5:F5"/>
    <mergeCell ref="H5:J5"/>
    <mergeCell ref="K30:K31"/>
    <mergeCell ref="J32:J33"/>
    <mergeCell ref="K32:K33"/>
    <mergeCell ref="H28:H29"/>
    <mergeCell ref="H30:H31"/>
    <mergeCell ref="H32:H33"/>
    <mergeCell ref="I28:I29"/>
    <mergeCell ref="I30:I31"/>
    <mergeCell ref="I32:I33"/>
    <mergeCell ref="J28:J29"/>
    <mergeCell ref="K28:K29"/>
    <mergeCell ref="J30:J31"/>
  </mergeCells>
  <pageMargins left="0.23622047244094491" right="0.23622047244094491" top="0.74803149606299213" bottom="0.74803149606299213" header="0.31496062992125984" footer="0.31496062992125984"/>
  <pageSetup paperSize="9" orientation="landscape" r:id="rId2"/>
  <headerFooter>
    <oddHeader>&amp;CКГБУ "Региональный центр оценки качества образования"</oddHeader>
  </headerFooter>
  <ignoredErrors>
    <ignoredError sqref="H10:H1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Layout" topLeftCell="C10" zoomScaleNormal="100" workbookViewId="0">
      <selection activeCell="F4" sqref="F4"/>
    </sheetView>
  </sheetViews>
  <sheetFormatPr defaultRowHeight="12.75" x14ac:dyDescent="0.2"/>
  <cols>
    <col min="1" max="1" width="0" hidden="1" customWidth="1"/>
    <col min="2" max="2" width="6" hidden="1" customWidth="1"/>
    <col min="3" max="3" width="5.5703125" customWidth="1"/>
    <col min="4" max="4" width="30.85546875" customWidth="1"/>
    <col min="5" max="5" width="8.140625" customWidth="1"/>
    <col min="6" max="6" width="14.42578125" customWidth="1"/>
    <col min="7" max="7" width="0" hidden="1" customWidth="1"/>
    <col min="8" max="8" width="12.5703125" customWidth="1"/>
    <col min="9" max="10" width="0" hidden="1" customWidth="1"/>
    <col min="11" max="11" width="16.28515625" customWidth="1"/>
  </cols>
  <sheetData>
    <row r="1" spans="1:11" ht="32.25" customHeight="1" x14ac:dyDescent="0.2">
      <c r="C1" s="620" t="s">
        <v>284</v>
      </c>
      <c r="D1" s="620"/>
      <c r="E1" s="620"/>
      <c r="F1" s="620"/>
      <c r="G1" s="620"/>
      <c r="H1" s="620"/>
      <c r="I1" s="620"/>
      <c r="J1" s="620"/>
      <c r="K1" s="620"/>
    </row>
    <row r="3" spans="1:11" ht="68.25" customHeight="1" x14ac:dyDescent="0.2">
      <c r="A3" s="379"/>
      <c r="B3" s="380" t="s">
        <v>2</v>
      </c>
      <c r="C3" s="381" t="s">
        <v>14</v>
      </c>
      <c r="D3" s="379" t="s">
        <v>3</v>
      </c>
      <c r="E3" s="380" t="s">
        <v>281</v>
      </c>
      <c r="F3" s="380" t="s">
        <v>158</v>
      </c>
      <c r="G3" s="380">
        <v>100</v>
      </c>
      <c r="H3" s="380" t="s">
        <v>282</v>
      </c>
      <c r="I3" s="380">
        <v>100</v>
      </c>
      <c r="J3" s="380">
        <v>1</v>
      </c>
      <c r="K3" s="380" t="s">
        <v>98</v>
      </c>
    </row>
    <row r="4" spans="1:11" x14ac:dyDescent="0.2">
      <c r="A4" s="378">
        <f>IF('СПИСОК КЛАССА'!J20&gt;0,1,0)</f>
        <v>1</v>
      </c>
      <c r="B4" s="378">
        <v>1</v>
      </c>
      <c r="C4" s="378">
        <f>IF(NOT(ISBLANK('СПИСОК КЛАССА'!C20)),'СПИСОК КЛАССА'!C20,"")</f>
        <v>1</v>
      </c>
      <c r="D4" s="378" t="str">
        <f>IF(NOT(ISBLANK('СПИСОК КЛАССА'!D20)),IF($A4=1,'СПИСОК КЛАССА'!D20, "УЧЕНИК НЕ ВЫПОЛНЯЛ РАБОТУ"),"")</f>
        <v/>
      </c>
      <c r="E4" s="382">
        <f>IF(AND(OR($C4&lt;&gt;"",$D4&lt;&gt;""),$A4=1,Результаты_Класс!$AI$2="ДА"),Результаты_Класс!AC20,"")</f>
        <v>17.5</v>
      </c>
      <c r="F4" s="383">
        <f>IF(AND(OR($C4&lt;&gt;"",$D4&lt;&gt;""),$A4=1,Результаты_Класс!$AI$2="ДА"),Результаты_Класс!AF20,"")</f>
        <v>77.777777777777786</v>
      </c>
      <c r="G4" s="384">
        <f>IF(AND(OR($C4&lt;&gt;"",$D4&lt;&gt;""),$A4=1,Результаты_Класс!$AI$2="ДА"),$G$3-F4,"")</f>
        <v>22.222222222222214</v>
      </c>
      <c r="H4" s="383">
        <f>IF(AND(OR($C4&lt;&gt;"",$D4&lt;&gt;""),$A4=1,Результаты_Класс!$AI$2="ДА"),Результаты_Класс!AH20,"")</f>
        <v>58.333333333333336</v>
      </c>
      <c r="I4" s="384">
        <f>IF(AND(OR($C4&lt;&gt;"",$D4&lt;&gt;""),$A4=1,Результаты_Класс!$AI$2="ДА"),$I$3-H4,"")</f>
        <v>41.666666666666664</v>
      </c>
      <c r="J4" s="384">
        <v>100</v>
      </c>
      <c r="K4" s="382" t="str">
        <f>IF(AND(OR($C4&lt;&gt;"",$D4&lt;&gt;""),$A4=1,Результаты_Класс!$AI$2="ДА"),Результаты_Класс!AI20,"")</f>
        <v>БАЗОВЫЙ</v>
      </c>
    </row>
    <row r="5" spans="1:11" x14ac:dyDescent="0.2">
      <c r="A5" s="378">
        <f>IF('СПИСОК КЛАССА'!J21&gt;0,1,0)</f>
        <v>1</v>
      </c>
      <c r="B5" s="378">
        <v>2</v>
      </c>
      <c r="C5" s="378">
        <f>IF(NOT(ISBLANK('СПИСОК КЛАССА'!C21)),'СПИСОК КЛАССА'!C21,"")</f>
        <v>2</v>
      </c>
      <c r="D5" s="378" t="str">
        <f>IF(NOT(ISBLANK('СПИСОК КЛАССА'!D21)),IF($A5=1,'СПИСОК КЛАССА'!D21, "УЧЕНИК НЕ ВЫПОЛНЯЛ РАБОТУ"),"")</f>
        <v/>
      </c>
      <c r="E5" s="382">
        <f>IF(AND(OR($C5&lt;&gt;"",$D5&lt;&gt;""),$A5=1,Результаты_Класс!$AI$2="ДА"),Результаты_Класс!AC21,"")</f>
        <v>18</v>
      </c>
      <c r="F5" s="383">
        <f>IF(AND(OR($C5&lt;&gt;"",$D5&lt;&gt;""),$A5=1,Результаты_Класс!$AI$2="ДА"),Результаты_Класс!AF21,"")</f>
        <v>77.777777777777786</v>
      </c>
      <c r="G5" s="384">
        <f>IF(AND(OR($C5&lt;&gt;"",$D5&lt;&gt;""),$A5=1,Результаты_Класс!$AI$2="ДА"),$G$3-F5,"")</f>
        <v>22.222222222222214</v>
      </c>
      <c r="H5" s="383">
        <f>IF(AND(OR($C5&lt;&gt;"",$D5&lt;&gt;""),$A5=1,Результаты_Класс!$AI$2="ДА"),Результаты_Класс!AH21,"")</f>
        <v>66.666666666666657</v>
      </c>
      <c r="I5" s="384">
        <f>IF(AND(OR($C5&lt;&gt;"",$D5&lt;&gt;""),$A5=1,Результаты_Класс!$AI$2="ДА"),$I$3-H5,"")</f>
        <v>33.333333333333343</v>
      </c>
      <c r="J5" s="384">
        <v>100</v>
      </c>
      <c r="K5" s="382" t="str">
        <f>IF(AND(OR($C5&lt;&gt;"",$D5&lt;&gt;""),$A5=1,Результаты_Класс!$AI$2="ДА"),Результаты_Класс!AI21,"")</f>
        <v>ПОВЫШЕННЫЙ</v>
      </c>
    </row>
    <row r="6" spans="1:11" x14ac:dyDescent="0.2">
      <c r="A6" s="378">
        <f>IF('СПИСОК КЛАССА'!J22&gt;0,1,0)</f>
        <v>1</v>
      </c>
      <c r="B6" s="378">
        <v>3</v>
      </c>
      <c r="C6" s="378">
        <f>IF(NOT(ISBLANK('СПИСОК КЛАССА'!C22)),'СПИСОК КЛАССА'!C22,"")</f>
        <v>3</v>
      </c>
      <c r="D6" s="378" t="str">
        <f>IF(NOT(ISBLANK('СПИСОК КЛАССА'!D22)),IF($A6=1,'СПИСОК КЛАССА'!D22, "УЧЕНИК НЕ ВЫПОЛНЯЛ РАБОТУ"),"")</f>
        <v/>
      </c>
      <c r="E6" s="382">
        <f>IF(AND(OR($C6&lt;&gt;"",$D6&lt;&gt;""),$A6=1,Результаты_Класс!$AI$2="ДА"),Результаты_Класс!AC22,"")</f>
        <v>23</v>
      </c>
      <c r="F6" s="383">
        <f>IF(AND(OR($C6&lt;&gt;"",$D6&lt;&gt;""),$A6=1,Результаты_Класс!$AI$2="ДА"),Результаты_Класс!AF22,"")</f>
        <v>94.444444444444443</v>
      </c>
      <c r="G6" s="384">
        <f>IF(AND(OR($C6&lt;&gt;"",$D6&lt;&gt;""),$A6=1,Результаты_Класс!$AI$2="ДА"),$G$3-F6,"")</f>
        <v>5.5555555555555571</v>
      </c>
      <c r="H6" s="383">
        <f>IF(AND(OR($C6&lt;&gt;"",$D6&lt;&gt;""),$A6=1,Результаты_Класс!$AI$2="ДА"),Результаты_Класс!AH22,"")</f>
        <v>100</v>
      </c>
      <c r="I6" s="384">
        <f>IF(AND(OR($C6&lt;&gt;"",$D6&lt;&gt;""),$A6=1,Результаты_Класс!$AI$2="ДА"),$I$3-H6,"")</f>
        <v>0</v>
      </c>
      <c r="J6" s="384">
        <v>100</v>
      </c>
      <c r="K6" s="382" t="str">
        <f>IF(AND(OR($C6&lt;&gt;"",$D6&lt;&gt;""),$A6=1,Результаты_Класс!$AI$2="ДА"),Результаты_Класс!AI22,"")</f>
        <v>ВЫСОКИЙ</v>
      </c>
    </row>
    <row r="7" spans="1:11" x14ac:dyDescent="0.2">
      <c r="A7" s="378">
        <f>IF('СПИСОК КЛАССА'!J23&gt;0,1,0)</f>
        <v>1</v>
      </c>
      <c r="B7" s="378">
        <v>4</v>
      </c>
      <c r="C7" s="378">
        <f>IF(NOT(ISBLANK('СПИСОК КЛАССА'!C23)),'СПИСОК КЛАССА'!C23,"")</f>
        <v>4</v>
      </c>
      <c r="D7" s="378" t="str">
        <f>IF(NOT(ISBLANK('СПИСОК КЛАССА'!D23)),IF($A7=1,'СПИСОК КЛАССА'!D23, "УЧЕНИК НЕ ВЫПОЛНЯЛ РАБОТУ"),"")</f>
        <v/>
      </c>
      <c r="E7" s="382">
        <f>IF(AND(OR($C7&lt;&gt;"",$D7&lt;&gt;""),$A7=1,Результаты_Класс!$AI$2="ДА"),Результаты_Класс!AC23,"")</f>
        <v>23</v>
      </c>
      <c r="F7" s="383">
        <f>IF(AND(OR($C7&lt;&gt;"",$D7&lt;&gt;""),$A7=1,Результаты_Класс!$AI$2="ДА"),Результаты_Класс!AF23,"")</f>
        <v>94.444444444444443</v>
      </c>
      <c r="G7" s="384">
        <f>IF(AND(OR($C7&lt;&gt;"",$D7&lt;&gt;""),$A7=1,Результаты_Класс!$AI$2="ДА"),$G$3-F7,"")</f>
        <v>5.5555555555555571</v>
      </c>
      <c r="H7" s="383">
        <f>IF(AND(OR($C7&lt;&gt;"",$D7&lt;&gt;""),$A7=1,Результаты_Класс!$AI$2="ДА"),Результаты_Класс!AH23,"")</f>
        <v>100</v>
      </c>
      <c r="I7" s="384">
        <f>IF(AND(OR($C7&lt;&gt;"",$D7&lt;&gt;""),$A7=1,Результаты_Класс!$AI$2="ДА"),$I$3-H7,"")</f>
        <v>0</v>
      </c>
      <c r="J7" s="384">
        <v>100</v>
      </c>
      <c r="K7" s="382" t="str">
        <f>IF(AND(OR($C7&lt;&gt;"",$D7&lt;&gt;""),$A7=1,Результаты_Класс!$AI$2="ДА"),Результаты_Класс!AI23,"")</f>
        <v>ВЫСОКИЙ</v>
      </c>
    </row>
    <row r="8" spans="1:11" x14ac:dyDescent="0.2">
      <c r="A8" s="378">
        <f>IF('СПИСОК КЛАССА'!J24&gt;0,1,0)</f>
        <v>1</v>
      </c>
      <c r="B8" s="378">
        <v>5</v>
      </c>
      <c r="C8" s="378">
        <f>IF(NOT(ISBLANK('СПИСОК КЛАССА'!C24)),'СПИСОК КЛАССА'!C24,"")</f>
        <v>5</v>
      </c>
      <c r="D8" s="378" t="str">
        <f>IF(NOT(ISBLANK('СПИСОК КЛАССА'!D24)),IF($A8=1,'СПИСОК КЛАССА'!D24, "УЧЕНИК НЕ ВЫПОЛНЯЛ РАБОТУ"),"")</f>
        <v/>
      </c>
      <c r="E8" s="382">
        <f>IF(AND(OR($C8&lt;&gt;"",$D8&lt;&gt;""),$A8=1,Результаты_Класс!$AI$2="ДА"),Результаты_Класс!AC24,"")</f>
        <v>12.8</v>
      </c>
      <c r="F8" s="383">
        <f>IF(AND(OR($C8&lt;&gt;"",$D8&lt;&gt;""),$A8=1,Результаты_Класс!$AI$2="ДА"),Результаты_Класс!AF24,"")</f>
        <v>66.666666666666657</v>
      </c>
      <c r="G8" s="384">
        <f>IF(AND(OR($C8&lt;&gt;"",$D8&lt;&gt;""),$A8=1,Результаты_Класс!$AI$2="ДА"),$G$3-F8,"")</f>
        <v>33.333333333333343</v>
      </c>
      <c r="H8" s="383">
        <f>IF(AND(OR($C8&lt;&gt;"",$D8&lt;&gt;""),$A8=1,Результаты_Класс!$AI$2="ДА"),Результаты_Класс!AH24,"")</f>
        <v>13.333333333333334</v>
      </c>
      <c r="I8" s="384">
        <f>IF(AND(OR($C8&lt;&gt;"",$D8&lt;&gt;""),$A8=1,Результаты_Класс!$AI$2="ДА"),$I$3-H8,"")</f>
        <v>86.666666666666671</v>
      </c>
      <c r="J8" s="384">
        <v>100</v>
      </c>
      <c r="K8" s="382" t="str">
        <f>IF(AND(OR($C8&lt;&gt;"",$D8&lt;&gt;""),$A8=1,Результаты_Класс!$AI$2="ДА"),Результаты_Класс!AI24,"")</f>
        <v>БАЗОВЫЙ</v>
      </c>
    </row>
    <row r="9" spans="1:11" x14ac:dyDescent="0.2">
      <c r="A9" s="378">
        <f>IF('СПИСОК КЛАССА'!J25&gt;0,1,0)</f>
        <v>1</v>
      </c>
      <c r="B9" s="378">
        <v>6</v>
      </c>
      <c r="C9" s="378">
        <f>IF(NOT(ISBLANK('СПИСОК КЛАССА'!C25)),'СПИСОК КЛАССА'!C25,"")</f>
        <v>6</v>
      </c>
      <c r="D9" s="378" t="str">
        <f>IF(NOT(ISBLANK('СПИСОК КЛАССА'!D25)),IF($A9=1,'СПИСОК КЛАССА'!D25, "УЧЕНИК НЕ ВЫПОЛНЯЛ РАБОТУ"),"")</f>
        <v/>
      </c>
      <c r="E9" s="382">
        <f>IF(AND(OR($C9&lt;&gt;"",$D9&lt;&gt;""),$A9=1,Результаты_Класс!$AI$2="ДА"),Результаты_Класс!AC25,"")</f>
        <v>17</v>
      </c>
      <c r="F9" s="383">
        <f>IF(AND(OR($C9&lt;&gt;"",$D9&lt;&gt;""),$A9=1,Результаты_Класс!$AI$2="ДА"),Результаты_Класс!AF25,"")</f>
        <v>83.333333333333343</v>
      </c>
      <c r="G9" s="384">
        <f>IF(AND(OR($C9&lt;&gt;"",$D9&lt;&gt;""),$A9=1,Результаты_Класс!$AI$2="ДА"),$G$3-F9,"")</f>
        <v>16.666666666666657</v>
      </c>
      <c r="H9" s="383">
        <f>IF(AND(OR($C9&lt;&gt;"",$D9&lt;&gt;""),$A9=1,Результаты_Класс!$AI$2="ДА"),Результаты_Класс!AH25,"")</f>
        <v>33.333333333333329</v>
      </c>
      <c r="I9" s="384">
        <f>IF(AND(OR($C9&lt;&gt;"",$D9&lt;&gt;""),$A9=1,Результаты_Класс!$AI$2="ДА"),$I$3-H9,"")</f>
        <v>66.666666666666671</v>
      </c>
      <c r="J9" s="384">
        <v>100</v>
      </c>
      <c r="K9" s="382" t="str">
        <f>IF(AND(OR($C9&lt;&gt;"",$D9&lt;&gt;""),$A9=1,Результаты_Класс!$AI$2="ДА"),Результаты_Класс!AI25,"")</f>
        <v>БАЗОВЫЙ</v>
      </c>
    </row>
    <row r="10" spans="1:11" x14ac:dyDescent="0.2">
      <c r="A10" s="378">
        <f>IF('СПИСОК КЛАССА'!J26&gt;0,1,0)</f>
        <v>1</v>
      </c>
      <c r="B10" s="378">
        <v>7</v>
      </c>
      <c r="C10" s="378">
        <f>IF(NOT(ISBLANK('СПИСОК КЛАССА'!C26)),'СПИСОК КЛАССА'!C26,"")</f>
        <v>7</v>
      </c>
      <c r="D10" s="378" t="str">
        <f>IF(NOT(ISBLANK('СПИСОК КЛАССА'!D26)),IF($A10=1,'СПИСОК КЛАССА'!D26, "УЧЕНИК НЕ ВЫПОЛНЯЛ РАБОТУ"),"")</f>
        <v/>
      </c>
      <c r="E10" s="382">
        <f>IF(AND(OR($C10&lt;&gt;"",$D10&lt;&gt;""),$A10=1,Результаты_Класс!$AI$2="ДА"),Результаты_Класс!AC26,"")</f>
        <v>18</v>
      </c>
      <c r="F10" s="383">
        <f>IF(AND(OR($C10&lt;&gt;"",$D10&lt;&gt;""),$A10=1,Результаты_Класс!$AI$2="ДА"),Результаты_Класс!AF26,"")</f>
        <v>77.777777777777786</v>
      </c>
      <c r="G10" s="384">
        <f>IF(AND(OR($C10&lt;&gt;"",$D10&lt;&gt;""),$A10=1,Результаты_Класс!$AI$2="ДА"),$G$3-F10,"")</f>
        <v>22.222222222222214</v>
      </c>
      <c r="H10" s="383">
        <f>IF(AND(OR($C10&lt;&gt;"",$D10&lt;&gt;""),$A10=1,Результаты_Класс!$AI$2="ДА"),Результаты_Класс!AH26,"")</f>
        <v>66.666666666666657</v>
      </c>
      <c r="I10" s="384">
        <f>IF(AND(OR($C10&lt;&gt;"",$D10&lt;&gt;""),$A10=1,Результаты_Класс!$AI$2="ДА"),$I$3-H10,"")</f>
        <v>33.333333333333343</v>
      </c>
      <c r="J10" s="384">
        <v>100</v>
      </c>
      <c r="K10" s="382" t="str">
        <f>IF(AND(OR($C10&lt;&gt;"",$D10&lt;&gt;""),$A10=1,Результаты_Класс!$AI$2="ДА"),Результаты_Класс!AI26,"")</f>
        <v>ПОВЫШЕННЫЙ</v>
      </c>
    </row>
    <row r="11" spans="1:11" x14ac:dyDescent="0.2">
      <c r="A11" s="378">
        <f>IF('СПИСОК КЛАССА'!J27&gt;0,1,0)</f>
        <v>1</v>
      </c>
      <c r="B11" s="378">
        <v>8</v>
      </c>
      <c r="C11" s="378">
        <f>IF(NOT(ISBLANK('СПИСОК КЛАССА'!C27)),'СПИСОК КЛАССА'!C27,"")</f>
        <v>8</v>
      </c>
      <c r="D11" s="378" t="str">
        <f>IF(NOT(ISBLANK('СПИСОК КЛАССА'!D27)),IF($A11=1,'СПИСОК КЛАССА'!D27, "УЧЕНИК НЕ ВЫПОЛНЯЛ РАБОТУ"),"")</f>
        <v/>
      </c>
      <c r="E11" s="382">
        <f>IF(AND(OR($C11&lt;&gt;"",$D11&lt;&gt;""),$A11=1,Результаты_Класс!$AI$2="ДА"),Результаты_Класс!AC27,"")</f>
        <v>22</v>
      </c>
      <c r="F11" s="383">
        <f>IF(AND(OR($C11&lt;&gt;"",$D11&lt;&gt;""),$A11=1,Результаты_Класс!$AI$2="ДА"),Результаты_Класс!AF27,"")</f>
        <v>88.888888888888886</v>
      </c>
      <c r="G11" s="384">
        <f>IF(AND(OR($C11&lt;&gt;"",$D11&lt;&gt;""),$A11=1,Результаты_Класс!$AI$2="ДА"),$G$3-F11,"")</f>
        <v>11.111111111111114</v>
      </c>
      <c r="H11" s="383">
        <f>IF(AND(OR($C11&lt;&gt;"",$D11&lt;&gt;""),$A11=1,Результаты_Класс!$AI$2="ДА"),Результаты_Класс!AH27,"")</f>
        <v>100</v>
      </c>
      <c r="I11" s="384">
        <f>IF(AND(OR($C11&lt;&gt;"",$D11&lt;&gt;""),$A11=1,Результаты_Класс!$AI$2="ДА"),$I$3-H11,"")</f>
        <v>0</v>
      </c>
      <c r="J11" s="384">
        <v>100</v>
      </c>
      <c r="K11" s="382" t="str">
        <f>IF(AND(OR($C11&lt;&gt;"",$D11&lt;&gt;""),$A11=1,Результаты_Класс!$AI$2="ДА"),Результаты_Класс!AI27,"")</f>
        <v>ВЫСОКИЙ</v>
      </c>
    </row>
    <row r="12" spans="1:11" x14ac:dyDescent="0.2">
      <c r="A12" s="378">
        <f>IF('СПИСОК КЛАССА'!J28&gt;0,1,0)</f>
        <v>1</v>
      </c>
      <c r="B12" s="378">
        <v>9</v>
      </c>
      <c r="C12" s="378">
        <f>IF(NOT(ISBLANK('СПИСОК КЛАССА'!C28)),'СПИСОК КЛАССА'!C28,"")</f>
        <v>9</v>
      </c>
      <c r="D12" s="378" t="str">
        <f>IF(NOT(ISBLANK('СПИСОК КЛАССА'!D28)),IF($A12=1,'СПИСОК КЛАССА'!D28, "УЧЕНИК НЕ ВЫПОЛНЯЛ РАБОТУ"),"")</f>
        <v/>
      </c>
      <c r="E12" s="382">
        <f>IF(AND(OR($C12&lt;&gt;"",$D12&lt;&gt;""),$A12=1,Результаты_Класс!$AI$2="ДА"),Результаты_Класс!AC28,"")</f>
        <v>18.899999999999999</v>
      </c>
      <c r="F12" s="383">
        <f>IF(AND(OR($C12&lt;&gt;"",$D12&lt;&gt;""),$A12=1,Результаты_Класс!$AI$2="ДА"),Результаты_Класс!AF28,"")</f>
        <v>83.333333333333343</v>
      </c>
      <c r="G12" s="384">
        <f>IF(AND(OR($C12&lt;&gt;"",$D12&lt;&gt;""),$A12=1,Результаты_Класс!$AI$2="ДА"),$G$3-F12,"")</f>
        <v>16.666666666666657</v>
      </c>
      <c r="H12" s="383">
        <f>IF(AND(OR($C12&lt;&gt;"",$D12&lt;&gt;""),$A12=1,Результаты_Класс!$AI$2="ДА"),Результаты_Класс!AH28,"")</f>
        <v>65</v>
      </c>
      <c r="I12" s="384">
        <f>IF(AND(OR($C12&lt;&gt;"",$D12&lt;&gt;""),$A12=1,Результаты_Класс!$AI$2="ДА"),$I$3-H12,"")</f>
        <v>35</v>
      </c>
      <c r="J12" s="384">
        <v>100</v>
      </c>
      <c r="K12" s="382" t="str">
        <f>IF(AND(OR($C12&lt;&gt;"",$D12&lt;&gt;""),$A12=1,Результаты_Класс!$AI$2="ДА"),Результаты_Класс!AI28,"")</f>
        <v>ПОВЫШЕННЫЙ</v>
      </c>
    </row>
    <row r="13" spans="1:11" x14ac:dyDescent="0.2">
      <c r="A13" s="378">
        <f>IF('СПИСОК КЛАССА'!J29&gt;0,1,0)</f>
        <v>1</v>
      </c>
      <c r="B13" s="378">
        <v>10</v>
      </c>
      <c r="C13" s="378">
        <f>IF(NOT(ISBLANK('СПИСОК КЛАССА'!C29)),'СПИСОК КЛАССА'!C29,"")</f>
        <v>10</v>
      </c>
      <c r="D13" s="378" t="str">
        <f>IF(NOT(ISBLANK('СПИСОК КЛАССА'!D29)),IF($A13=1,'СПИСОК КЛАССА'!D29, "УЧЕНИК НЕ ВЫПОЛНЯЛ РАБОТУ"),"")</f>
        <v/>
      </c>
      <c r="E13" s="382">
        <f>IF(AND(OR($C13&lt;&gt;"",$D13&lt;&gt;""),$A13=1,Результаты_Класс!$AI$2="ДА"),Результаты_Класс!AC29,"")</f>
        <v>15.2</v>
      </c>
      <c r="F13" s="383">
        <f>IF(AND(OR($C13&lt;&gt;"",$D13&lt;&gt;""),$A13=1,Результаты_Класс!$AI$2="ДА"),Результаты_Класс!AF29,"")</f>
        <v>77.777777777777786</v>
      </c>
      <c r="G13" s="384">
        <f>IF(AND(OR($C13&lt;&gt;"",$D13&lt;&gt;""),$A13=1,Результаты_Класс!$AI$2="ДА"),$G$3-F13,"")</f>
        <v>22.222222222222214</v>
      </c>
      <c r="H13" s="383">
        <f>IF(AND(OR($C13&lt;&gt;"",$D13&lt;&gt;""),$A13=1,Результаты_Класс!$AI$2="ДА"),Результаты_Класс!AH29,"")</f>
        <v>20.000000000000004</v>
      </c>
      <c r="I13" s="384">
        <f>IF(AND(OR($C13&lt;&gt;"",$D13&lt;&gt;""),$A13=1,Результаты_Класс!$AI$2="ДА"),$I$3-H13,"")</f>
        <v>80</v>
      </c>
      <c r="J13" s="384">
        <v>100</v>
      </c>
      <c r="K13" s="382" t="str">
        <f>IF(AND(OR($C13&lt;&gt;"",$D13&lt;&gt;""),$A13=1,Результаты_Класс!$AI$2="ДА"),Результаты_Класс!AI29,"")</f>
        <v>БАЗОВЫЙ</v>
      </c>
    </row>
    <row r="14" spans="1:11" x14ac:dyDescent="0.2">
      <c r="A14" s="378">
        <f>IF('СПИСОК КЛАССА'!J30&gt;0,1,0)</f>
        <v>1</v>
      </c>
      <c r="B14" s="378">
        <v>11</v>
      </c>
      <c r="C14" s="378">
        <f>IF(NOT(ISBLANK('СПИСОК КЛАССА'!C30)),'СПИСОК КЛАССА'!C30,"")</f>
        <v>11</v>
      </c>
      <c r="D14" s="378" t="str">
        <f>IF(NOT(ISBLANK('СПИСОК КЛАССА'!D30)),IF($A14=1,'СПИСОК КЛАССА'!D30, "УЧЕНИК НЕ ВЫПОЛНЯЛ РАБОТУ"),"")</f>
        <v/>
      </c>
      <c r="E14" s="382">
        <f>IF(AND(OR($C14&lt;&gt;"",$D14&lt;&gt;""),$A14=1,Результаты_Класс!$AI$2="ДА"),Результаты_Класс!AC30,"")</f>
        <v>18.2</v>
      </c>
      <c r="F14" s="383">
        <f>IF(AND(OR($C14&lt;&gt;"",$D14&lt;&gt;""),$A14=1,Результаты_Класс!$AI$2="ДА"),Результаты_Класс!AF30,"")</f>
        <v>94.444444444444443</v>
      </c>
      <c r="G14" s="384">
        <f>IF(AND(OR($C14&lt;&gt;"",$D14&lt;&gt;""),$A14=1,Результаты_Класс!$AI$2="ДА"),$G$3-F14,"")</f>
        <v>5.5555555555555571</v>
      </c>
      <c r="H14" s="383">
        <f>IF(AND(OR($C14&lt;&gt;"",$D14&lt;&gt;""),$A14=1,Результаты_Класс!$AI$2="ДА"),Результаты_Класс!AH30,"")</f>
        <v>20.000000000000004</v>
      </c>
      <c r="I14" s="384">
        <f>IF(AND(OR($C14&lt;&gt;"",$D14&lt;&gt;""),$A14=1,Результаты_Класс!$AI$2="ДА"),$I$3-H14,"")</f>
        <v>80</v>
      </c>
      <c r="J14" s="384">
        <v>100</v>
      </c>
      <c r="K14" s="382" t="str">
        <f>IF(AND(OR($C14&lt;&gt;"",$D14&lt;&gt;""),$A14=1,Результаты_Класс!$AI$2="ДА"),Результаты_Класс!AI30,"")</f>
        <v>ПОВЫШЕННЫЙ</v>
      </c>
    </row>
    <row r="15" spans="1:11" x14ac:dyDescent="0.2">
      <c r="A15" s="378">
        <f>IF('СПИСОК КЛАССА'!J31&gt;0,1,0)</f>
        <v>1</v>
      </c>
      <c r="B15" s="378">
        <v>12</v>
      </c>
      <c r="C15" s="378">
        <f>IF(NOT(ISBLANK('СПИСОК КЛАССА'!C31)),'СПИСОК КЛАССА'!C31,"")</f>
        <v>12</v>
      </c>
      <c r="D15" s="378" t="str">
        <f>IF(NOT(ISBLANK('СПИСОК КЛАССА'!D31)),IF($A15=1,'СПИСОК КЛАССА'!D31, "УЧЕНИК НЕ ВЫПОЛНЯЛ РАБОТУ"),"")</f>
        <v/>
      </c>
      <c r="E15" s="382">
        <f>IF(AND(OR($C15&lt;&gt;"",$D15&lt;&gt;""),$A15=1,Результаты_Класс!$AI$2="ДА"),Результаты_Класс!AC31,"")</f>
        <v>16.8</v>
      </c>
      <c r="F15" s="383">
        <f>IF(AND(OR($C15&lt;&gt;"",$D15&lt;&gt;""),$A15=1,Результаты_Класс!$AI$2="ДА"),Результаты_Класс!AF31,"")</f>
        <v>66.666666666666657</v>
      </c>
      <c r="G15" s="384">
        <f>IF(AND(OR($C15&lt;&gt;"",$D15&lt;&gt;""),$A15=1,Результаты_Класс!$AI$2="ДА"),$G$3-F15,"")</f>
        <v>33.333333333333343</v>
      </c>
      <c r="H15" s="383">
        <f>IF(AND(OR($C15&lt;&gt;"",$D15&lt;&gt;""),$A15=1,Результаты_Класс!$AI$2="ДА"),Результаты_Класс!AH31,"")</f>
        <v>80</v>
      </c>
      <c r="I15" s="384">
        <f>IF(AND(OR($C15&lt;&gt;"",$D15&lt;&gt;""),$A15=1,Результаты_Класс!$AI$2="ДА"),$I$3-H15,"")</f>
        <v>20</v>
      </c>
      <c r="J15" s="384">
        <v>100</v>
      </c>
      <c r="K15" s="382" t="str">
        <f>IF(AND(OR($C15&lt;&gt;"",$D15&lt;&gt;""),$A15=1,Результаты_Класс!$AI$2="ДА"),Результаты_Класс!AI31,"")</f>
        <v>БАЗОВЫЙ</v>
      </c>
    </row>
    <row r="16" spans="1:11" x14ac:dyDescent="0.2">
      <c r="A16" s="378">
        <f>IF('СПИСОК КЛАССА'!J32&gt;0,1,0)</f>
        <v>1</v>
      </c>
      <c r="B16" s="378">
        <v>13</v>
      </c>
      <c r="C16" s="378">
        <f>IF(NOT(ISBLANK('СПИСОК КЛАССА'!C32)),'СПИСОК КЛАССА'!C32,"")</f>
        <v>13</v>
      </c>
      <c r="D16" s="378" t="str">
        <f>IF(NOT(ISBLANK('СПИСОК КЛАССА'!D32)),IF($A16=1,'СПИСОК КЛАССА'!D32, "УЧЕНИК НЕ ВЫПОЛНЯЛ РАБОТУ"),"")</f>
        <v/>
      </c>
      <c r="E16" s="382">
        <f>IF(AND(OR($C16&lt;&gt;"",$D16&lt;&gt;""),$A16=1,Результаты_Класс!$AI$2="ДА"),Результаты_Класс!AC32,"")</f>
        <v>12</v>
      </c>
      <c r="F16" s="383">
        <f>IF(AND(OR($C16&lt;&gt;"",$D16&lt;&gt;""),$A16=1,Результаты_Класс!$AI$2="ДА"),Результаты_Класс!AF32,"")</f>
        <v>66.666666666666657</v>
      </c>
      <c r="G16" s="384">
        <f>IF(AND(OR($C16&lt;&gt;"",$D16&lt;&gt;""),$A16=1,Результаты_Класс!$AI$2="ДА"),$G$3-F16,"")</f>
        <v>33.333333333333343</v>
      </c>
      <c r="H16" s="383">
        <f>IF(AND(OR($C16&lt;&gt;"",$D16&lt;&gt;""),$A16=1,Результаты_Класс!$AI$2="ДА"),Результаты_Класс!AH32,"")</f>
        <v>0</v>
      </c>
      <c r="I16" s="384">
        <f>IF(AND(OR($C16&lt;&gt;"",$D16&lt;&gt;""),$A16=1,Результаты_Класс!$AI$2="ДА"),$I$3-H16,"")</f>
        <v>100</v>
      </c>
      <c r="J16" s="384">
        <v>100</v>
      </c>
      <c r="K16" s="382" t="str">
        <f>IF(AND(OR($C16&lt;&gt;"",$D16&lt;&gt;""),$A16=1,Результаты_Класс!$AI$2="ДА"),Результаты_Класс!AI32,"")</f>
        <v>БАЗОВЫЙ</v>
      </c>
    </row>
    <row r="17" spans="1:11" x14ac:dyDescent="0.2">
      <c r="A17" s="378">
        <f>IF('СПИСОК КЛАССА'!J33&gt;0,1,0)</f>
        <v>1</v>
      </c>
      <c r="B17" s="378">
        <v>14</v>
      </c>
      <c r="C17" s="378">
        <f>IF(NOT(ISBLANK('СПИСОК КЛАССА'!C33)),'СПИСОК КЛАССА'!C33,"")</f>
        <v>14</v>
      </c>
      <c r="D17" s="378" t="str">
        <f>IF(NOT(ISBLANK('СПИСОК КЛАССА'!D33)),IF($A17=1,'СПИСОК КЛАССА'!D33, "УЧЕНИК НЕ ВЫПОЛНЯЛ РАБОТУ"),"")</f>
        <v/>
      </c>
      <c r="E17" s="382">
        <f>IF(AND(OR($C17&lt;&gt;"",$D17&lt;&gt;""),$A17=1,Результаты_Класс!$AI$2="ДА"),Результаты_Класс!AC33,"")</f>
        <v>12</v>
      </c>
      <c r="F17" s="383">
        <f>IF(AND(OR($C17&lt;&gt;"",$D17&lt;&gt;""),$A17=1,Результаты_Класс!$AI$2="ДА"),Результаты_Класс!AF33,"")</f>
        <v>66.666666666666657</v>
      </c>
      <c r="G17" s="384">
        <f>IF(AND(OR($C17&lt;&gt;"",$D17&lt;&gt;""),$A17=1,Результаты_Класс!$AI$2="ДА"),$G$3-F17,"")</f>
        <v>33.333333333333343</v>
      </c>
      <c r="H17" s="383">
        <f>IF(AND(OR($C17&lt;&gt;"",$D17&lt;&gt;""),$A17=1,Результаты_Класс!$AI$2="ДА"),Результаты_Класс!AH33,"")</f>
        <v>0</v>
      </c>
      <c r="I17" s="384">
        <f>IF(AND(OR($C17&lt;&gt;"",$D17&lt;&gt;""),$A17=1,Результаты_Класс!$AI$2="ДА"),$I$3-H17,"")</f>
        <v>100</v>
      </c>
      <c r="J17" s="384">
        <v>100</v>
      </c>
      <c r="K17" s="382" t="str">
        <f>IF(AND(OR($C17&lt;&gt;"",$D17&lt;&gt;""),$A17=1,Результаты_Класс!$AI$2="ДА"),Результаты_Класс!AI33,"")</f>
        <v>БАЗОВЫЙ</v>
      </c>
    </row>
    <row r="18" spans="1:11" x14ac:dyDescent="0.2">
      <c r="A18" s="378">
        <f>IF('СПИСОК КЛАССА'!J34&gt;0,1,0)</f>
        <v>1</v>
      </c>
      <c r="B18" s="378">
        <v>15</v>
      </c>
      <c r="C18" s="378">
        <f>IF(NOT(ISBLANK('СПИСОК КЛАССА'!C34)),'СПИСОК КЛАССА'!C34,"")</f>
        <v>15</v>
      </c>
      <c r="D18" s="378" t="str">
        <f>IF(NOT(ISBLANK('СПИСОК КЛАССА'!D34)),IF($A18=1,'СПИСОК КЛАССА'!D34, "УЧЕНИК НЕ ВЫПОЛНЯЛ РАБОТУ"),"")</f>
        <v/>
      </c>
      <c r="E18" s="382">
        <f>IF(AND(OR($C18&lt;&gt;"",$D18&lt;&gt;""),$A18=1,Результаты_Класс!$AI$2="ДА"),Результаты_Класс!AC34,"")</f>
        <v>19.8</v>
      </c>
      <c r="F18" s="383">
        <f>IF(AND(OR($C18&lt;&gt;"",$D18&lt;&gt;""),$A18=1,Результаты_Класс!$AI$2="ДА"),Результаты_Класс!AF34,"")</f>
        <v>83.333333333333343</v>
      </c>
      <c r="G18" s="384">
        <f>IF(AND(OR($C18&lt;&gt;"",$D18&lt;&gt;""),$A18=1,Результаты_Класс!$AI$2="ДА"),$G$3-F18,"")</f>
        <v>16.666666666666657</v>
      </c>
      <c r="H18" s="383">
        <f>IF(AND(OR($C18&lt;&gt;"",$D18&lt;&gt;""),$A18=1,Результаты_Класс!$AI$2="ДА"),Результаты_Класс!AH34,"")</f>
        <v>80</v>
      </c>
      <c r="I18" s="384">
        <f>IF(AND(OR($C18&lt;&gt;"",$D18&lt;&gt;""),$A18=1,Результаты_Класс!$AI$2="ДА"),$I$3-H18,"")</f>
        <v>20</v>
      </c>
      <c r="J18" s="384">
        <v>100</v>
      </c>
      <c r="K18" s="382" t="str">
        <f>IF(AND(OR($C18&lt;&gt;"",$D18&lt;&gt;""),$A18=1,Результаты_Класс!$AI$2="ДА"),Результаты_Класс!AI34,"")</f>
        <v>ПОВЫШЕННЫЙ</v>
      </c>
    </row>
    <row r="19" spans="1:11" x14ac:dyDescent="0.2">
      <c r="A19" s="378">
        <f>IF('СПИСОК КЛАССА'!J35&gt;0,1,0)</f>
        <v>1</v>
      </c>
      <c r="B19" s="378">
        <v>16</v>
      </c>
      <c r="C19" s="378">
        <f>IF(NOT(ISBLANK('СПИСОК КЛАССА'!C35)),'СПИСОК КЛАССА'!C35,"")</f>
        <v>16</v>
      </c>
      <c r="D19" s="378" t="str">
        <f>IF(NOT(ISBLANK('СПИСОК КЛАССА'!D35)),IF($A19=1,'СПИСОК КЛАССА'!D35, "УЧЕНИК НЕ ВЫПОЛНЯЛ РАБОТУ"),"")</f>
        <v/>
      </c>
      <c r="E19" s="382">
        <f>IF(AND(OR($C19&lt;&gt;"",$D19&lt;&gt;""),$A19=1,Результаты_Класс!$AI$2="ДА"),Результаты_Класс!AC35,"")</f>
        <v>18.2</v>
      </c>
      <c r="F19" s="383">
        <f>IF(AND(OR($C19&lt;&gt;"",$D19&lt;&gt;""),$A19=1,Результаты_Класс!$AI$2="ДА"),Результаты_Класс!AF35,"")</f>
        <v>88.888888888888886</v>
      </c>
      <c r="G19" s="384">
        <f>IF(AND(OR($C19&lt;&gt;"",$D19&lt;&gt;""),$A19=1,Результаты_Класс!$AI$2="ДА"),$G$3-F19,"")</f>
        <v>11.111111111111114</v>
      </c>
      <c r="H19" s="383">
        <f>IF(AND(OR($C19&lt;&gt;"",$D19&lt;&gt;""),$A19=1,Результаты_Класс!$AI$2="ДА"),Результаты_Класс!AH35,"")</f>
        <v>36.666666666666671</v>
      </c>
      <c r="I19" s="384">
        <f>IF(AND(OR($C19&lt;&gt;"",$D19&lt;&gt;""),$A19=1,Результаты_Класс!$AI$2="ДА"),$I$3-H19,"")</f>
        <v>63.333333333333329</v>
      </c>
      <c r="J19" s="384">
        <v>100</v>
      </c>
      <c r="K19" s="382" t="str">
        <f>IF(AND(OR($C19&lt;&gt;"",$D19&lt;&gt;""),$A19=1,Результаты_Класс!$AI$2="ДА"),Результаты_Класс!AI35,"")</f>
        <v>ПОВЫШЕННЫЙ</v>
      </c>
    </row>
    <row r="20" spans="1:11" x14ac:dyDescent="0.2">
      <c r="A20" s="378">
        <f>IF('СПИСОК КЛАССА'!J36&gt;0,1,0)</f>
        <v>1</v>
      </c>
      <c r="B20" s="378">
        <v>17</v>
      </c>
      <c r="C20" s="378">
        <f>IF(NOT(ISBLANK('СПИСОК КЛАССА'!C36)),'СПИСОК КЛАССА'!C36,"")</f>
        <v>17</v>
      </c>
      <c r="D20" s="378" t="str">
        <f>IF(NOT(ISBLANK('СПИСОК КЛАССА'!D36)),IF($A20=1,'СПИСОК КЛАССА'!D36, "УЧЕНИК НЕ ВЫПОЛНЯЛ РАБОТУ"),"")</f>
        <v/>
      </c>
      <c r="E20" s="382">
        <f>IF(AND(OR($C20&lt;&gt;"",$D20&lt;&gt;""),$A20=1,Результаты_Класс!$AI$2="ДА"),Результаты_Класс!AC36,"")</f>
        <v>15</v>
      </c>
      <c r="F20" s="383">
        <f>IF(AND(OR($C20&lt;&gt;"",$D20&lt;&gt;""),$A20=1,Результаты_Класс!$AI$2="ДА"),Результаты_Класс!AF36,"")</f>
        <v>83.333333333333343</v>
      </c>
      <c r="G20" s="384">
        <f>IF(AND(OR($C20&lt;&gt;"",$D20&lt;&gt;""),$A20=1,Результаты_Класс!$AI$2="ДА"),$G$3-F20,"")</f>
        <v>16.666666666666657</v>
      </c>
      <c r="H20" s="383">
        <f>IF(AND(OR($C20&lt;&gt;"",$D20&lt;&gt;""),$A20=1,Результаты_Класс!$AI$2="ДА"),Результаты_Класс!AH36,"")</f>
        <v>0</v>
      </c>
      <c r="I20" s="384">
        <f>IF(AND(OR($C20&lt;&gt;"",$D20&lt;&gt;""),$A20=1,Результаты_Класс!$AI$2="ДА"),$I$3-H20,"")</f>
        <v>100</v>
      </c>
      <c r="J20" s="384">
        <v>100</v>
      </c>
      <c r="K20" s="382" t="str">
        <f>IF(AND(OR($C20&lt;&gt;"",$D20&lt;&gt;""),$A20=1,Результаты_Класс!$AI$2="ДА"),Результаты_Класс!AI36,"")</f>
        <v>БАЗОВЫЙ</v>
      </c>
    </row>
    <row r="21" spans="1:11" x14ac:dyDescent="0.2">
      <c r="A21" s="378">
        <f>IF('СПИСОК КЛАССА'!J37&gt;0,1,0)</f>
        <v>1</v>
      </c>
      <c r="B21" s="378">
        <v>18</v>
      </c>
      <c r="C21" s="378">
        <f>IF(NOT(ISBLANK('СПИСОК КЛАССА'!C37)),'СПИСОК КЛАССА'!C37,"")</f>
        <v>18</v>
      </c>
      <c r="D21" s="378" t="str">
        <f>IF(NOT(ISBLANK('СПИСОК КЛАССА'!D37)),IF($A21=1,'СПИСОК КЛАССА'!D37, "УЧЕНИК НЕ ВЫПОЛНЯЛ РАБОТУ"),"")</f>
        <v/>
      </c>
      <c r="E21" s="382">
        <f>IF(AND(OR($C21&lt;&gt;"",$D21&lt;&gt;""),$A21=1,Результаты_Класс!$AI$2="ДА"),Результаты_Класс!AC37,"")</f>
        <v>8</v>
      </c>
      <c r="F21" s="383">
        <f>IF(AND(OR($C21&lt;&gt;"",$D21&lt;&gt;""),$A21=1,Результаты_Класс!$AI$2="ДА"),Результаты_Класс!AF37,"")</f>
        <v>44.444444444444443</v>
      </c>
      <c r="G21" s="384">
        <f>IF(AND(OR($C21&lt;&gt;"",$D21&lt;&gt;""),$A21=1,Результаты_Класс!$AI$2="ДА"),$G$3-F21,"")</f>
        <v>55.555555555555557</v>
      </c>
      <c r="H21" s="383">
        <f>IF(AND(OR($C21&lt;&gt;"",$D21&lt;&gt;""),$A21=1,Результаты_Класс!$AI$2="ДА"),Результаты_Класс!AH37,"")</f>
        <v>0</v>
      </c>
      <c r="I21" s="384">
        <f>IF(AND(OR($C21&lt;&gt;"",$D21&lt;&gt;""),$A21=1,Результаты_Класс!$AI$2="ДА"),$I$3-H21,"")</f>
        <v>100</v>
      </c>
      <c r="J21" s="384">
        <v>100</v>
      </c>
      <c r="K21" s="382" t="str">
        <f>IF(AND(OR($C21&lt;&gt;"",$D21&lt;&gt;""),$A21=1,Результаты_Класс!$AI$2="ДА"),Результаты_Класс!AI37,"")</f>
        <v>НЕДОСТАТОЧНЫЙ</v>
      </c>
    </row>
    <row r="22" spans="1:11" x14ac:dyDescent="0.2">
      <c r="A22" s="378">
        <f>IF('СПИСОК КЛАССА'!J38&gt;0,1,0)</f>
        <v>1</v>
      </c>
      <c r="B22" s="378">
        <v>19</v>
      </c>
      <c r="C22" s="378">
        <f>IF(NOT(ISBLANK('СПИСОК КЛАССА'!C38)),'СПИСОК КЛАССА'!C38,"")</f>
        <v>19</v>
      </c>
      <c r="D22" s="378" t="str">
        <f>IF(NOT(ISBLANK('СПИСОК КЛАССА'!D38)),IF($A22=1,'СПИСОК КЛАССА'!D38, "УЧЕНИК НЕ ВЫПОЛНЯЛ РАБОТУ"),"")</f>
        <v/>
      </c>
      <c r="E22" s="382">
        <f>IF(AND(OR($C22&lt;&gt;"",$D22&lt;&gt;""),$A22=1,Результаты_Класс!$AI$2="ДА"),Результаты_Класс!AC38,"")</f>
        <v>12.4</v>
      </c>
      <c r="F22" s="383">
        <f>IF(AND(OR($C22&lt;&gt;"",$D22&lt;&gt;""),$A22=1,Результаты_Класс!$AI$2="ДА"),Результаты_Класс!AF38,"")</f>
        <v>55.555555555555557</v>
      </c>
      <c r="G22" s="384">
        <f>IF(AND(OR($C22&lt;&gt;"",$D22&lt;&gt;""),$A22=1,Результаты_Класс!$AI$2="ДА"),$G$3-F22,"")</f>
        <v>44.444444444444443</v>
      </c>
      <c r="H22" s="383">
        <f>IF(AND(OR($C22&lt;&gt;"",$D22&lt;&gt;""),$A22=1,Результаты_Класс!$AI$2="ДА"),Результаты_Класс!AH38,"")</f>
        <v>40</v>
      </c>
      <c r="I22" s="384">
        <f>IF(AND(OR($C22&lt;&gt;"",$D22&lt;&gt;""),$A22=1,Результаты_Класс!$AI$2="ДА"),$I$3-H22,"")</f>
        <v>60</v>
      </c>
      <c r="J22" s="384">
        <v>100</v>
      </c>
      <c r="K22" s="382" t="str">
        <f>IF(AND(OR($C22&lt;&gt;"",$D22&lt;&gt;""),$A22=1,Результаты_Класс!$AI$2="ДА"),Результаты_Класс!AI38,"")</f>
        <v>БАЗОВЫЙ</v>
      </c>
    </row>
    <row r="23" spans="1:11" x14ac:dyDescent="0.2">
      <c r="A23" s="378">
        <f>IF('СПИСОК КЛАССА'!J39&gt;0,1,0)</f>
        <v>1</v>
      </c>
      <c r="B23" s="378">
        <v>20</v>
      </c>
      <c r="C23" s="378">
        <f>IF(NOT(ISBLANK('СПИСОК КЛАССА'!C39)),'СПИСОК КЛАССА'!C39,"")</f>
        <v>20</v>
      </c>
      <c r="D23" s="378" t="str">
        <f>IF(NOT(ISBLANK('СПИСОК КЛАССА'!D39)),IF($A23=1,'СПИСОК КЛАССА'!D39, "УЧЕНИК НЕ ВЫПОЛНЯЛ РАБОТУ"),"")</f>
        <v/>
      </c>
      <c r="E23" s="382">
        <f>IF(AND(OR($C23&lt;&gt;"",$D23&lt;&gt;""),$A23=1,Результаты_Класс!$AI$2="ДА"),Результаты_Класс!AC39,"")</f>
        <v>15</v>
      </c>
      <c r="F23" s="383">
        <f>IF(AND(OR($C23&lt;&gt;"",$D23&lt;&gt;""),$A23=1,Результаты_Класс!$AI$2="ДА"),Результаты_Класс!AF39,"")</f>
        <v>72.222222222222214</v>
      </c>
      <c r="G23" s="384">
        <f>IF(AND(OR($C23&lt;&gt;"",$D23&lt;&gt;""),$A23=1,Результаты_Класс!$AI$2="ДА"),$G$3-F23,"")</f>
        <v>27.777777777777786</v>
      </c>
      <c r="H23" s="383">
        <f>IF(AND(OR($C23&lt;&gt;"",$D23&lt;&gt;""),$A23=1,Результаты_Класс!$AI$2="ДА"),Результаты_Класс!AH39,"")</f>
        <v>33.333333333333329</v>
      </c>
      <c r="I23" s="384">
        <f>IF(AND(OR($C23&lt;&gt;"",$D23&lt;&gt;""),$A23=1,Результаты_Класс!$AI$2="ДА"),$I$3-H23,"")</f>
        <v>66.666666666666671</v>
      </c>
      <c r="J23" s="384">
        <v>100</v>
      </c>
      <c r="K23" s="382" t="str">
        <f>IF(AND(OR($C23&lt;&gt;"",$D23&lt;&gt;""),$A23=1,Результаты_Класс!$AI$2="ДА"),Результаты_Класс!AI39,"")</f>
        <v>БАЗОВЫЙ</v>
      </c>
    </row>
    <row r="24" spans="1:11" x14ac:dyDescent="0.2">
      <c r="A24" s="378">
        <f>IF('СПИСОК КЛАССА'!J40&gt;0,1,0)</f>
        <v>1</v>
      </c>
      <c r="B24" s="378">
        <v>21</v>
      </c>
      <c r="C24" s="378">
        <f>IF(NOT(ISBLANK('СПИСОК КЛАССА'!C40)),'СПИСОК КЛАССА'!C40,"")</f>
        <v>21</v>
      </c>
      <c r="D24" s="378" t="str">
        <f>IF(NOT(ISBLANK('СПИСОК КЛАССА'!D40)),IF($A24=1,'СПИСОК КЛАССА'!D40, "УЧЕНИК НЕ ВЫПОЛНЯЛ РАБОТУ"),"")</f>
        <v/>
      </c>
      <c r="E24" s="382">
        <f>IF(AND(OR($C24&lt;&gt;"",$D24&lt;&gt;""),$A24=1,Результаты_Класс!$AI$2="ДА"),Результаты_Класс!AC40,"")</f>
        <v>15.4</v>
      </c>
      <c r="F24" s="383">
        <f>IF(AND(OR($C24&lt;&gt;"",$D24&lt;&gt;""),$A24=1,Результаты_Класс!$AI$2="ДА"),Результаты_Класс!AF40,"")</f>
        <v>72.222222222222214</v>
      </c>
      <c r="G24" s="384">
        <f>IF(AND(OR($C24&lt;&gt;"",$D24&lt;&gt;""),$A24=1,Результаты_Класс!$AI$2="ДА"),$G$3-F24,"")</f>
        <v>27.777777777777786</v>
      </c>
      <c r="H24" s="383">
        <f>IF(AND(OR($C24&lt;&gt;"",$D24&lt;&gt;""),$A24=1,Результаты_Класс!$AI$2="ДА"),Результаты_Класс!AH40,"")</f>
        <v>40</v>
      </c>
      <c r="I24" s="384">
        <f>IF(AND(OR($C24&lt;&gt;"",$D24&lt;&gt;""),$A24=1,Результаты_Класс!$AI$2="ДА"),$I$3-H24,"")</f>
        <v>60</v>
      </c>
      <c r="J24" s="384">
        <v>100</v>
      </c>
      <c r="K24" s="382" t="str">
        <f>IF(AND(OR($C24&lt;&gt;"",$D24&lt;&gt;""),$A24=1,Результаты_Класс!$AI$2="ДА"),Результаты_Класс!AI40,"")</f>
        <v>БАЗОВЫЙ</v>
      </c>
    </row>
    <row r="25" spans="1:11" x14ac:dyDescent="0.2">
      <c r="A25" s="378">
        <f>IF('СПИСОК КЛАССА'!J41&gt;0,1,0)</f>
        <v>1</v>
      </c>
      <c r="B25" s="378">
        <v>22</v>
      </c>
      <c r="C25" s="378">
        <f>IF(NOT(ISBLANK('СПИСОК КЛАССА'!C41)),'СПИСОК КЛАССА'!C41,"")</f>
        <v>22</v>
      </c>
      <c r="D25" s="378" t="str">
        <f>IF(NOT(ISBLANK('СПИСОК КЛАССА'!D41)),IF($A25=1,'СПИСОК КЛАССА'!D41, "УЧЕНИК НЕ ВЫПОЛНЯЛ РАБОТУ"),"")</f>
        <v/>
      </c>
      <c r="E25" s="382">
        <f>IF(AND(OR($C25&lt;&gt;"",$D25&lt;&gt;""),$A25=1,Результаты_Класс!$AI$2="ДА"),Результаты_Класс!AC41,"")</f>
        <v>16.8</v>
      </c>
      <c r="F25" s="383">
        <f>IF(AND(OR($C25&lt;&gt;"",$D25&lt;&gt;""),$A25=1,Результаты_Класс!$AI$2="ДА"),Результаты_Класс!AF41,"")</f>
        <v>66.666666666666657</v>
      </c>
      <c r="G25" s="384">
        <f>IF(AND(OR($C25&lt;&gt;"",$D25&lt;&gt;""),$A25=1,Результаты_Класс!$AI$2="ДА"),$G$3-F25,"")</f>
        <v>33.333333333333343</v>
      </c>
      <c r="H25" s="383">
        <f>IF(AND(OR($C25&lt;&gt;"",$D25&lt;&gt;""),$A25=1,Результаты_Класс!$AI$2="ДА"),Результаты_Класс!AH41,"")</f>
        <v>80</v>
      </c>
      <c r="I25" s="384">
        <f>IF(AND(OR($C25&lt;&gt;"",$D25&lt;&gt;""),$A25=1,Результаты_Класс!$AI$2="ДА"),$I$3-H25,"")</f>
        <v>20</v>
      </c>
      <c r="J25" s="384">
        <v>100</v>
      </c>
      <c r="K25" s="382" t="str">
        <f>IF(AND(OR($C25&lt;&gt;"",$D25&lt;&gt;""),$A25=1,Результаты_Класс!$AI$2="ДА"),Результаты_Класс!AI41,"")</f>
        <v>БАЗОВЫЙ</v>
      </c>
    </row>
    <row r="26" spans="1:11" x14ac:dyDescent="0.2">
      <c r="A26" s="378">
        <f>IF('СПИСОК КЛАССА'!J42&gt;0,1,0)</f>
        <v>1</v>
      </c>
      <c r="B26" s="378">
        <v>23</v>
      </c>
      <c r="C26" s="378">
        <f>IF(NOT(ISBLANK('СПИСОК КЛАССА'!C42)),'СПИСОК КЛАССА'!C42,"")</f>
        <v>23</v>
      </c>
      <c r="D26" s="378" t="str">
        <f>IF(NOT(ISBLANK('СПИСОК КЛАССА'!D42)),IF($A26=1,'СПИСОК КЛАССА'!D42, "УЧЕНИК НЕ ВЫПОЛНЯЛ РАБОТУ"),"")</f>
        <v/>
      </c>
      <c r="E26" s="382">
        <f>IF(AND(OR($C26&lt;&gt;"",$D26&lt;&gt;""),$A26=1,Результаты_Класс!$AI$2="ДА"),Результаты_Класс!AC42,"")</f>
        <v>13.4</v>
      </c>
      <c r="F26" s="383">
        <f>IF(AND(OR($C26&lt;&gt;"",$D26&lt;&gt;""),$A26=1,Результаты_Класс!$AI$2="ДА"),Результаты_Класс!AF42,"")</f>
        <v>72.222222222222214</v>
      </c>
      <c r="G26" s="384">
        <f>IF(AND(OR($C26&lt;&gt;"",$D26&lt;&gt;""),$A26=1,Результаты_Класс!$AI$2="ДА"),$G$3-F26,"")</f>
        <v>27.777777777777786</v>
      </c>
      <c r="H26" s="383">
        <f>IF(AND(OR($C26&lt;&gt;"",$D26&lt;&gt;""),$A26=1,Результаты_Класс!$AI$2="ДА"),Результаты_Класс!AH42,"")</f>
        <v>6.666666666666667</v>
      </c>
      <c r="I26" s="384">
        <f>IF(AND(OR($C26&lt;&gt;"",$D26&lt;&gt;""),$A26=1,Результаты_Класс!$AI$2="ДА"),$I$3-H26,"")</f>
        <v>93.333333333333329</v>
      </c>
      <c r="J26" s="384">
        <v>100</v>
      </c>
      <c r="K26" s="382" t="str">
        <f>IF(AND(OR($C26&lt;&gt;"",$D26&lt;&gt;""),$A26=1,Результаты_Класс!$AI$2="ДА"),Результаты_Класс!AI42,"")</f>
        <v>БАЗОВЫЙ</v>
      </c>
    </row>
    <row r="27" spans="1:11" x14ac:dyDescent="0.2">
      <c r="A27" s="378">
        <f>IF('СПИСОК КЛАССА'!J43&gt;0,1,0)</f>
        <v>1</v>
      </c>
      <c r="B27" s="378">
        <v>24</v>
      </c>
      <c r="C27" s="378">
        <f>IF(NOT(ISBLANK('СПИСОК КЛАССА'!C43)),'СПИСОК КЛАССА'!C43,"")</f>
        <v>24</v>
      </c>
      <c r="D27" s="378" t="str">
        <f>IF(NOT(ISBLANK('СПИСОК КЛАССА'!D43)),IF($A27=1,'СПИСОК КЛАССА'!D43, "УЧЕНИК НЕ ВЫПОЛНЯЛ РАБОТУ"),"")</f>
        <v/>
      </c>
      <c r="E27" s="382">
        <f>IF(AND(OR($C27&lt;&gt;"",$D27&lt;&gt;""),$A27=1,Результаты_Класс!$AI$2="ДА"),Результаты_Класс!AC43,"")</f>
        <v>14</v>
      </c>
      <c r="F27" s="383">
        <f>IF(AND(OR($C27&lt;&gt;"",$D27&lt;&gt;""),$A27=1,Результаты_Класс!$AI$2="ДА"),Результаты_Класс!AF43,"")</f>
        <v>77.777777777777786</v>
      </c>
      <c r="G27" s="384">
        <f>IF(AND(OR($C27&lt;&gt;"",$D27&lt;&gt;""),$A27=1,Результаты_Класс!$AI$2="ДА"),$G$3-F27,"")</f>
        <v>22.222222222222214</v>
      </c>
      <c r="H27" s="383">
        <f>IF(AND(OR($C27&lt;&gt;"",$D27&lt;&gt;""),$A27=1,Результаты_Класс!$AI$2="ДА"),Результаты_Класс!AH43,"")</f>
        <v>0</v>
      </c>
      <c r="I27" s="384">
        <f>IF(AND(OR($C27&lt;&gt;"",$D27&lt;&gt;""),$A27=1,Результаты_Класс!$AI$2="ДА"),$I$3-H27,"")</f>
        <v>100</v>
      </c>
      <c r="J27" s="384">
        <v>100</v>
      </c>
      <c r="K27" s="382" t="str">
        <f>IF(AND(OR($C27&lt;&gt;"",$D27&lt;&gt;""),$A27=1,Результаты_Класс!$AI$2="ДА"),Результаты_Класс!AI43,"")</f>
        <v>БАЗОВЫЙ</v>
      </c>
    </row>
    <row r="28" spans="1:11" x14ac:dyDescent="0.2">
      <c r="A28" s="378">
        <f>IF('СПИСОК КЛАССА'!J44&gt;0,1,0)</f>
        <v>1</v>
      </c>
      <c r="B28" s="378">
        <v>25</v>
      </c>
      <c r="C28" s="378">
        <f>IF(NOT(ISBLANK('СПИСОК КЛАССА'!C44)),'СПИСОК КЛАССА'!C44,"")</f>
        <v>25</v>
      </c>
      <c r="D28" s="378" t="str">
        <f>IF(NOT(ISBLANK('СПИСОК КЛАССА'!D44)),IF($A28=1,'СПИСОК КЛАССА'!D44, "УЧЕНИК НЕ ВЫПОЛНЯЛ РАБОТУ"),"")</f>
        <v/>
      </c>
      <c r="E28" s="382">
        <f>IF(AND(OR($C28&lt;&gt;"",$D28&lt;&gt;""),$A28=1,Результаты_Класс!$AI$2="ДА"),Результаты_Класс!AC44,"")</f>
        <v>16.5</v>
      </c>
      <c r="F28" s="383">
        <f>IF(AND(OR($C28&lt;&gt;"",$D28&lt;&gt;""),$A28=1,Результаты_Класс!$AI$2="ДА"),Результаты_Класс!AF44,"")</f>
        <v>72.222222222222214</v>
      </c>
      <c r="G28" s="384">
        <f>IF(AND(OR($C28&lt;&gt;"",$D28&lt;&gt;""),$A28=1,Результаты_Класс!$AI$2="ДА"),$G$3-F28,"")</f>
        <v>27.777777777777786</v>
      </c>
      <c r="H28" s="383">
        <f>IF(AND(OR($C28&lt;&gt;"",$D28&lt;&gt;""),$A28=1,Результаты_Класс!$AI$2="ДА"),Результаты_Класс!AH44,"")</f>
        <v>58.333333333333336</v>
      </c>
      <c r="I28" s="384">
        <f>IF(AND(OR($C28&lt;&gt;"",$D28&lt;&gt;""),$A28=1,Результаты_Класс!$AI$2="ДА"),$I$3-H28,"")</f>
        <v>41.666666666666664</v>
      </c>
      <c r="J28" s="384">
        <v>100</v>
      </c>
      <c r="K28" s="382" t="str">
        <f>IF(AND(OR($C28&lt;&gt;"",$D28&lt;&gt;""),$A28=1,Результаты_Класс!$AI$2="ДА"),Результаты_Класс!AI44,"")</f>
        <v>БАЗОВЫЙ</v>
      </c>
    </row>
    <row r="29" spans="1:11" x14ac:dyDescent="0.2">
      <c r="A29" s="378">
        <f>IF('СПИСОК КЛАССА'!J45&gt;0,1,0)</f>
        <v>1</v>
      </c>
      <c r="B29" s="378">
        <v>26</v>
      </c>
      <c r="C29" s="378">
        <f>IF(NOT(ISBLANK('СПИСОК КЛАССА'!C45)),'СПИСОК КЛАССА'!C45,"")</f>
        <v>26</v>
      </c>
      <c r="D29" s="378" t="str">
        <f>IF(NOT(ISBLANK('СПИСОК КЛАССА'!D45)),IF($A29=1,'СПИСОК КЛАССА'!D45, "УЧЕНИК НЕ ВЫПОЛНЯЛ РАБОТУ"),"")</f>
        <v/>
      </c>
      <c r="E29" s="382">
        <f>IF(AND(OR($C29&lt;&gt;"",$D29&lt;&gt;""),$A29=1,Результаты_Класс!$AI$2="ДА"),Результаты_Класс!AC45,"")</f>
        <v>22</v>
      </c>
      <c r="F29" s="383">
        <f>IF(AND(OR($C29&lt;&gt;"",$D29&lt;&gt;""),$A29=1,Результаты_Класс!$AI$2="ДА"),Результаты_Класс!AF45,"")</f>
        <v>88.888888888888886</v>
      </c>
      <c r="G29" s="384">
        <f>IF(AND(OR($C29&lt;&gt;"",$D29&lt;&gt;""),$A29=1,Результаты_Класс!$AI$2="ДА"),$G$3-F29,"")</f>
        <v>11.111111111111114</v>
      </c>
      <c r="H29" s="383">
        <f>IF(AND(OR($C29&lt;&gt;"",$D29&lt;&gt;""),$A29=1,Результаты_Класс!$AI$2="ДА"),Результаты_Класс!AH45,"")</f>
        <v>100</v>
      </c>
      <c r="I29" s="384">
        <f>IF(AND(OR($C29&lt;&gt;"",$D29&lt;&gt;""),$A29=1,Результаты_Класс!$AI$2="ДА"),$I$3-H29,"")</f>
        <v>0</v>
      </c>
      <c r="J29" s="384">
        <v>100</v>
      </c>
      <c r="K29" s="382" t="str">
        <f>IF(AND(OR($C29&lt;&gt;"",$D29&lt;&gt;""),$A29=1,Результаты_Класс!$AI$2="ДА"),Результаты_Класс!AI45,"")</f>
        <v>ВЫСОКИЙ</v>
      </c>
    </row>
    <row r="30" spans="1:11" x14ac:dyDescent="0.2">
      <c r="A30" s="378">
        <f>IF('СПИСОК КЛАССА'!J46&gt;0,1,0)</f>
        <v>1</v>
      </c>
      <c r="B30" s="378">
        <v>27</v>
      </c>
      <c r="C30" s="378">
        <f>IF(NOT(ISBLANK('СПИСОК КЛАССА'!C46)),'СПИСОК КЛАССА'!C46,"")</f>
        <v>27</v>
      </c>
      <c r="D30" s="378" t="str">
        <f>IF(NOT(ISBLANK('СПИСОК КЛАССА'!D46)),IF($A30=1,'СПИСОК КЛАССА'!D46, "УЧЕНИК НЕ ВЫПОЛНЯЛ РАБОТУ"),"")</f>
        <v/>
      </c>
      <c r="E30" s="382">
        <f>IF(AND(OR($C30&lt;&gt;"",$D30&lt;&gt;""),$A30=1,Результаты_Класс!$AI$2="ДА"),Результаты_Класс!AC46,"")</f>
        <v>18.2</v>
      </c>
      <c r="F30" s="383">
        <f>IF(AND(OR($C30&lt;&gt;"",$D30&lt;&gt;""),$A30=1,Результаты_Класс!$AI$2="ДА"),Результаты_Класс!AF46,"")</f>
        <v>83.333333333333343</v>
      </c>
      <c r="G30" s="384">
        <f>IF(AND(OR($C30&lt;&gt;"",$D30&lt;&gt;""),$A30=1,Результаты_Класс!$AI$2="ДА"),$G$3-F30,"")</f>
        <v>16.666666666666657</v>
      </c>
      <c r="H30" s="383">
        <f>IF(AND(OR($C30&lt;&gt;"",$D30&lt;&gt;""),$A30=1,Результаты_Класс!$AI$2="ДА"),Результаты_Класс!AH46,"")</f>
        <v>53.333333333333336</v>
      </c>
      <c r="I30" s="384">
        <f>IF(AND(OR($C30&lt;&gt;"",$D30&lt;&gt;""),$A30=1,Результаты_Класс!$AI$2="ДА"),$I$3-H30,"")</f>
        <v>46.666666666666664</v>
      </c>
      <c r="J30" s="384">
        <v>100</v>
      </c>
      <c r="K30" s="382" t="str">
        <f>IF(AND(OR($C30&lt;&gt;"",$D30&lt;&gt;""),$A30=1,Результаты_Класс!$AI$2="ДА"),Результаты_Класс!AI46,"")</f>
        <v>ПОВЫШЕННЫЙ</v>
      </c>
    </row>
    <row r="31" spans="1:11" x14ac:dyDescent="0.2">
      <c r="A31" s="378">
        <f>IF('СПИСОК КЛАССА'!J47&gt;0,1,0)</f>
        <v>1</v>
      </c>
      <c r="B31" s="378">
        <v>28</v>
      </c>
      <c r="C31" s="378">
        <f>IF(NOT(ISBLANK('СПИСОК КЛАССА'!C47)),'СПИСОК КЛАССА'!C47,"")</f>
        <v>28</v>
      </c>
      <c r="D31" s="378" t="str">
        <f>IF(NOT(ISBLANK('СПИСОК КЛАССА'!D47)),IF($A31=1,'СПИСОК КЛАССА'!D47, "УЧЕНИК НЕ ВЫПОЛНЯЛ РАБОТУ"),"")</f>
        <v/>
      </c>
      <c r="E31" s="382">
        <f>IF(AND(OR($C31&lt;&gt;"",$D31&lt;&gt;""),$A31=1,Результаты_Класс!$AI$2="ДА"),Результаты_Класс!AC47,"")</f>
        <v>16.8</v>
      </c>
      <c r="F31" s="383">
        <f>IF(AND(OR($C31&lt;&gt;"",$D31&lt;&gt;""),$A31=1,Результаты_Класс!$AI$2="ДА"),Результаты_Класс!AF47,"")</f>
        <v>77.777777777777786</v>
      </c>
      <c r="G31" s="384">
        <f>IF(AND(OR($C31&lt;&gt;"",$D31&lt;&gt;""),$A31=1,Результаты_Класс!$AI$2="ДА"),$G$3-F31,"")</f>
        <v>22.222222222222214</v>
      </c>
      <c r="H31" s="383">
        <f>IF(AND(OR($C31&lt;&gt;"",$D31&lt;&gt;""),$A31=1,Результаты_Класс!$AI$2="ДА"),Результаты_Класс!AH47,"")</f>
        <v>46.666666666666664</v>
      </c>
      <c r="I31" s="384">
        <f>IF(AND(OR($C31&lt;&gt;"",$D31&lt;&gt;""),$A31=1,Результаты_Класс!$AI$2="ДА"),$I$3-H31,"")</f>
        <v>53.333333333333336</v>
      </c>
      <c r="J31" s="384">
        <v>100</v>
      </c>
      <c r="K31" s="382" t="str">
        <f>IF(AND(OR($C31&lt;&gt;"",$D31&lt;&gt;""),$A31=1,Результаты_Класс!$AI$2="ДА"),Результаты_Класс!AI47,"")</f>
        <v>БАЗОВЫЙ</v>
      </c>
    </row>
    <row r="32" spans="1:11" x14ac:dyDescent="0.2">
      <c r="A32" s="378">
        <f>IF('СПИСОК КЛАССА'!J48&gt;0,1,0)</f>
        <v>1</v>
      </c>
      <c r="B32" s="378">
        <v>29</v>
      </c>
      <c r="C32" s="378">
        <f>IF(NOT(ISBLANK('СПИСОК КЛАССА'!C48)),'СПИСОК КЛАССА'!C48,"")</f>
        <v>29</v>
      </c>
      <c r="D32" s="378" t="str">
        <f>IF(NOT(ISBLANK('СПИСОК КЛАССА'!D48)),IF($A32=1,'СПИСОК КЛАССА'!D48, "УЧЕНИК НЕ ВЫПОЛНЯЛ РАБОТУ"),"")</f>
        <v/>
      </c>
      <c r="E32" s="382">
        <f>IF(AND(OR($C32&lt;&gt;"",$D32&lt;&gt;""),$A32=1,Результаты_Класс!$AI$2="ДА"),Результаты_Класс!AC48,"")</f>
        <v>17.399999999999999</v>
      </c>
      <c r="F32" s="383">
        <f>IF(AND(OR($C32&lt;&gt;"",$D32&lt;&gt;""),$A32=1,Результаты_Класс!$AI$2="ДА"),Результаты_Класс!AF48,"")</f>
        <v>94.444444444444443</v>
      </c>
      <c r="G32" s="384">
        <f>IF(AND(OR($C32&lt;&gt;"",$D32&lt;&gt;""),$A32=1,Результаты_Класс!$AI$2="ДА"),$G$3-F32,"")</f>
        <v>5.5555555555555571</v>
      </c>
      <c r="H32" s="383">
        <f>IF(AND(OR($C32&lt;&gt;"",$D32&lt;&gt;""),$A32=1,Результаты_Класс!$AI$2="ДА"),Результаты_Класс!AH48,"")</f>
        <v>6.666666666666667</v>
      </c>
      <c r="I32" s="384">
        <f>IF(AND(OR($C32&lt;&gt;"",$D32&lt;&gt;""),$A32=1,Результаты_Класс!$AI$2="ДА"),$I$3-H32,"")</f>
        <v>93.333333333333329</v>
      </c>
      <c r="J32" s="384">
        <v>100</v>
      </c>
      <c r="K32" s="382" t="str">
        <f>IF(AND(OR($C32&lt;&gt;"",$D32&lt;&gt;""),$A32=1,Результаты_Класс!$AI$2="ДА"),Результаты_Класс!AI48,"")</f>
        <v>БАЗОВЫЙ</v>
      </c>
    </row>
    <row r="33" spans="1:11" x14ac:dyDescent="0.2">
      <c r="A33" s="378">
        <f>IF('СПИСОК КЛАССА'!J49&gt;0,1,0)</f>
        <v>1</v>
      </c>
      <c r="B33" s="378">
        <v>30</v>
      </c>
      <c r="C33" s="378">
        <f>IF(NOT(ISBLANK('СПИСОК КЛАССА'!C49)),'СПИСОК КЛАССА'!C49,"")</f>
        <v>30</v>
      </c>
      <c r="D33" s="378" t="str">
        <f>IF(NOT(ISBLANK('СПИСОК КЛАССА'!D49)),IF($A33=1,'СПИСОК КЛАССА'!D49, "УЧЕНИК НЕ ВЫПОЛНЯЛ РАБОТУ"),"")</f>
        <v/>
      </c>
      <c r="E33" s="382">
        <f>IF(AND(OR($C33&lt;&gt;"",$D33&lt;&gt;""),$A33=1,Результаты_Класс!$AI$2="ДА"),Результаты_Класс!AC49,"")</f>
        <v>14</v>
      </c>
      <c r="F33" s="383">
        <f>IF(AND(OR($C33&lt;&gt;"",$D33&lt;&gt;""),$A33=1,Результаты_Класс!$AI$2="ДА"),Результаты_Класс!AF49,"")</f>
        <v>77.777777777777786</v>
      </c>
      <c r="G33" s="384">
        <f>IF(AND(OR($C33&lt;&gt;"",$D33&lt;&gt;""),$A33=1,Результаты_Класс!$AI$2="ДА"),$G$3-F33,"")</f>
        <v>22.222222222222214</v>
      </c>
      <c r="H33" s="383">
        <f>IF(AND(OR($C33&lt;&gt;"",$D33&lt;&gt;""),$A33=1,Результаты_Класс!$AI$2="ДА"),Результаты_Класс!AH49,"")</f>
        <v>0</v>
      </c>
      <c r="I33" s="384">
        <f>IF(AND(OR($C33&lt;&gt;"",$D33&lt;&gt;""),$A33=1,Результаты_Класс!$AI$2="ДА"),$I$3-H33,"")</f>
        <v>100</v>
      </c>
      <c r="J33" s="384">
        <v>100</v>
      </c>
      <c r="K33" s="382" t="str">
        <f>IF(AND(OR($C33&lt;&gt;"",$D33&lt;&gt;""),$A33=1,Результаты_Класс!$AI$2="ДА"),Результаты_Класс!AI49,"")</f>
        <v>БАЗОВЫЙ</v>
      </c>
    </row>
    <row r="34" spans="1:11" x14ac:dyDescent="0.2">
      <c r="A34" s="378">
        <f>IF('СПИСОК КЛАССА'!J50&gt;0,1,0)</f>
        <v>1</v>
      </c>
      <c r="B34" s="378">
        <v>31</v>
      </c>
      <c r="C34" s="378">
        <f>IF(NOT(ISBLANK('СПИСОК КЛАССА'!C50)),'СПИСОК КЛАССА'!C50,"")</f>
        <v>31</v>
      </c>
      <c r="D34" s="378" t="str">
        <f>IF(NOT(ISBLANK('СПИСОК КЛАССА'!D50)),IF($A34=1,'СПИСОК КЛАССА'!D50, "УЧЕНИК НЕ ВЫПОЛНЯЛ РАБОТУ"),"")</f>
        <v/>
      </c>
      <c r="E34" s="382">
        <f>IF(AND(OR($C34&lt;&gt;"",$D34&lt;&gt;""),$A34=1,Результаты_Класс!$AI$2="ДА"),Результаты_Класс!AC50,"")</f>
        <v>21</v>
      </c>
      <c r="F34" s="383">
        <f>IF(AND(OR($C34&lt;&gt;"",$D34&lt;&gt;""),$A34=1,Результаты_Класс!$AI$2="ДА"),Результаты_Класс!AF50,"")</f>
        <v>83.333333333333343</v>
      </c>
      <c r="G34" s="384">
        <f>IF(AND(OR($C34&lt;&gt;"",$D34&lt;&gt;""),$A34=1,Результаты_Класс!$AI$2="ДА"),$G$3-F34,"")</f>
        <v>16.666666666666657</v>
      </c>
      <c r="H34" s="383">
        <f>IF(AND(OR($C34&lt;&gt;"",$D34&lt;&gt;""),$A34=1,Результаты_Класс!$AI$2="ДА"),Результаты_Класс!AH50,"")</f>
        <v>100</v>
      </c>
      <c r="I34" s="384">
        <f>IF(AND(OR($C34&lt;&gt;"",$D34&lt;&gt;""),$A34=1,Результаты_Класс!$AI$2="ДА"),$I$3-H34,"")</f>
        <v>0</v>
      </c>
      <c r="J34" s="384">
        <v>100</v>
      </c>
      <c r="K34" s="382" t="str">
        <f>IF(AND(OR($C34&lt;&gt;"",$D34&lt;&gt;""),$A34=1,Результаты_Класс!$AI$2="ДА"),Результаты_Класс!AI50,"")</f>
        <v>ВЫСОКИЙ</v>
      </c>
    </row>
    <row r="35" spans="1:11" x14ac:dyDescent="0.2">
      <c r="A35" s="378">
        <f>IF('СПИСОК КЛАССА'!J51&gt;0,1,0)</f>
        <v>1</v>
      </c>
      <c r="B35" s="378">
        <v>32</v>
      </c>
      <c r="C35" s="378">
        <f>IF(NOT(ISBLANK('СПИСОК КЛАССА'!C51)),'СПИСОК КЛАССА'!C51,"")</f>
        <v>32</v>
      </c>
      <c r="D35" s="378" t="str">
        <f>IF(NOT(ISBLANK('СПИСОК КЛАССА'!D51)),IF($A35=1,'СПИСОК КЛАССА'!D51, "УЧЕНИК НЕ ВЫПОЛНЯЛ РАБОТУ"),"")</f>
        <v/>
      </c>
      <c r="E35" s="382">
        <f>IF(AND(OR($C35&lt;&gt;"",$D35&lt;&gt;""),$A35=1,Результаты_Класс!$AI$2="ДА"),Результаты_Класс!AC51,"")</f>
        <v>19.8</v>
      </c>
      <c r="F35" s="383">
        <f>IF(AND(OR($C35&lt;&gt;"",$D35&lt;&gt;""),$A35=1,Результаты_Класс!$AI$2="ДА"),Результаты_Класс!AF51,"")</f>
        <v>94.444444444444443</v>
      </c>
      <c r="G35" s="384">
        <f>IF(AND(OR($C35&lt;&gt;"",$D35&lt;&gt;""),$A35=1,Результаты_Класс!$AI$2="ДА"),$G$3-F35,"")</f>
        <v>5.5555555555555571</v>
      </c>
      <c r="H35" s="383">
        <f>IF(AND(OR($C35&lt;&gt;"",$D35&lt;&gt;""),$A35=1,Результаты_Класс!$AI$2="ДА"),Результаты_Класс!AH51,"")</f>
        <v>46.666666666666664</v>
      </c>
      <c r="I35" s="384">
        <f>IF(AND(OR($C35&lt;&gt;"",$D35&lt;&gt;""),$A35=1,Результаты_Класс!$AI$2="ДА"),$I$3-H35,"")</f>
        <v>53.333333333333336</v>
      </c>
      <c r="J35" s="384">
        <v>100</v>
      </c>
      <c r="K35" s="382" t="str">
        <f>IF(AND(OR($C35&lt;&gt;"",$D35&lt;&gt;""),$A35=1,Результаты_Класс!$AI$2="ДА"),Результаты_Класс!AI51,"")</f>
        <v>ПОВЫШЕННЫЙ</v>
      </c>
    </row>
    <row r="36" spans="1:11" x14ac:dyDescent="0.2">
      <c r="A36" s="378">
        <f>IF('СПИСОК КЛАССА'!J52&gt;0,1,0)</f>
        <v>1</v>
      </c>
      <c r="B36" s="378">
        <v>33</v>
      </c>
      <c r="C36" s="378">
        <f>IF(NOT(ISBLANK('СПИСОК КЛАССА'!C52)),'СПИСОК КЛАССА'!C52,"")</f>
        <v>33</v>
      </c>
      <c r="D36" s="378" t="str">
        <f>IF(NOT(ISBLANK('СПИСОК КЛАССА'!D52)),IF($A36=1,'СПИСОК КЛАССА'!D52, "УЧЕНИК НЕ ВЫПОЛНЯЛ РАБОТУ"),"")</f>
        <v/>
      </c>
      <c r="E36" s="382">
        <f>IF(AND(OR($C36&lt;&gt;"",$D36&lt;&gt;""),$A36=1,Результаты_Класс!$AI$2="ДА"),Результаты_Класс!AC52,"")</f>
        <v>17.8</v>
      </c>
      <c r="F36" s="383">
        <f>IF(AND(OR($C36&lt;&gt;"",$D36&lt;&gt;""),$A36=1,Результаты_Класс!$AI$2="ДА"),Результаты_Класс!AF52,"")</f>
        <v>72.222222222222214</v>
      </c>
      <c r="G36" s="384">
        <f>IF(AND(OR($C36&lt;&gt;"",$D36&lt;&gt;""),$A36=1,Результаты_Класс!$AI$2="ДА"),$G$3-F36,"")</f>
        <v>27.777777777777786</v>
      </c>
      <c r="H36" s="383">
        <f>IF(AND(OR($C36&lt;&gt;"",$D36&lt;&gt;""),$A36=1,Результаты_Класс!$AI$2="ДА"),Результаты_Класс!AH52,"")</f>
        <v>80</v>
      </c>
      <c r="I36" s="384">
        <f>IF(AND(OR($C36&lt;&gt;"",$D36&lt;&gt;""),$A36=1,Результаты_Класс!$AI$2="ДА"),$I$3-H36,"")</f>
        <v>20</v>
      </c>
      <c r="J36" s="384">
        <v>100</v>
      </c>
      <c r="K36" s="382" t="str">
        <f>IF(AND(OR($C36&lt;&gt;"",$D36&lt;&gt;""),$A36=1,Результаты_Класс!$AI$2="ДА"),Результаты_Класс!AI52,"")</f>
        <v>БАЗОВЫЙ</v>
      </c>
    </row>
    <row r="37" spans="1:11" x14ac:dyDescent="0.2">
      <c r="A37" s="378">
        <f>IF('СПИСОК КЛАССА'!J53&gt;0,1,0)</f>
        <v>1</v>
      </c>
      <c r="B37" s="378">
        <v>34</v>
      </c>
      <c r="C37" s="378">
        <f>IF(NOT(ISBLANK('СПИСОК КЛАССА'!C53)),'СПИСОК КЛАССА'!C53,"")</f>
        <v>34</v>
      </c>
      <c r="D37" s="378" t="str">
        <f>IF(NOT(ISBLANK('СПИСОК КЛАССА'!D53)),IF($A37=1,'СПИСОК КЛАССА'!D53, "УЧЕНИК НЕ ВЫПОЛНЯЛ РАБОТУ"),"")</f>
        <v/>
      </c>
      <c r="E37" s="382">
        <f>IF(AND(OR($C37&lt;&gt;"",$D37&lt;&gt;""),$A37=1,Результаты_Класс!$AI$2="ДА"),Результаты_Класс!AC53,"")</f>
        <v>9</v>
      </c>
      <c r="F37" s="383">
        <f>IF(AND(OR($C37&lt;&gt;"",$D37&lt;&gt;""),$A37=1,Результаты_Класс!$AI$2="ДА"),Результаты_Класс!AF53,"")</f>
        <v>50</v>
      </c>
      <c r="G37" s="384">
        <f>IF(AND(OR($C37&lt;&gt;"",$D37&lt;&gt;""),$A37=1,Результаты_Класс!$AI$2="ДА"),$G$3-F37,"")</f>
        <v>50</v>
      </c>
      <c r="H37" s="383">
        <f>IF(AND(OR($C37&lt;&gt;"",$D37&lt;&gt;""),$A37=1,Результаты_Класс!$AI$2="ДА"),Результаты_Класс!AH53,"")</f>
        <v>0</v>
      </c>
      <c r="I37" s="384">
        <f>IF(AND(OR($C37&lt;&gt;"",$D37&lt;&gt;""),$A37=1,Результаты_Класс!$AI$2="ДА"),$I$3-H37,"")</f>
        <v>100</v>
      </c>
      <c r="J37" s="384">
        <v>100</v>
      </c>
      <c r="K37" s="382" t="str">
        <f>IF(AND(OR($C37&lt;&gt;"",$D37&lt;&gt;""),$A37=1,Результаты_Класс!$AI$2="ДА"),Результаты_Класс!AI53,"")</f>
        <v>БАЗОВЫЙ</v>
      </c>
    </row>
    <row r="38" spans="1:11" x14ac:dyDescent="0.2">
      <c r="A38" s="378">
        <f>IF('СПИСОК КЛАССА'!J54&gt;0,1,0)</f>
        <v>0</v>
      </c>
      <c r="B38" s="378">
        <v>35</v>
      </c>
      <c r="C38" s="378" t="str">
        <f>IF(NOT(ISBLANK('СПИСОК КЛАССА'!C54)),'СПИСОК КЛАССА'!C54,"")</f>
        <v/>
      </c>
      <c r="D38" s="378" t="str">
        <f>IF(NOT(ISBLANK('СПИСОК КЛАССА'!D54)),IF($A38=1,'СПИСОК КЛАССА'!D54, "УЧЕНИК НЕ ВЫПОЛНЯЛ РАБОТУ"),"")</f>
        <v/>
      </c>
      <c r="E38" s="382" t="str">
        <f>IF(AND(OR($C38&lt;&gt;"",$D38&lt;&gt;""),$A38=1,Результаты_Класс!$AI$2="ДА"),Результаты_Класс!AC54,"")</f>
        <v/>
      </c>
      <c r="F38" s="383" t="str">
        <f>IF(AND(OR($C38&lt;&gt;"",$D38&lt;&gt;""),$A38=1,Результаты_Класс!$AI$2="ДА"),Результаты_Класс!AF54,"")</f>
        <v/>
      </c>
      <c r="G38" s="384" t="str">
        <f>IF(AND(OR($C38&lt;&gt;"",$D38&lt;&gt;""),$A38=1,Результаты_Класс!$AI$2="ДА"),$G$3-F38,"")</f>
        <v/>
      </c>
      <c r="H38" s="383" t="str">
        <f>IF(AND(OR($C38&lt;&gt;"",$D38&lt;&gt;""),$A38=1,Результаты_Класс!$AI$2="ДА"),Результаты_Класс!AH54,"")</f>
        <v/>
      </c>
      <c r="I38" s="384" t="str">
        <f>IF(AND(OR($C38&lt;&gt;"",$D38&lt;&gt;""),$A38=1,Результаты_Класс!$AI$2="ДА"),$I$3-H38,"")</f>
        <v/>
      </c>
      <c r="J38" s="384">
        <v>100</v>
      </c>
      <c r="K38" s="382" t="str">
        <f>IF(AND(OR($C38&lt;&gt;"",$D38&lt;&gt;""),$A38=1,Результаты_Класс!$AI$2="ДА"),Результаты_Класс!AI54,"")</f>
        <v/>
      </c>
    </row>
    <row r="39" spans="1:11" x14ac:dyDescent="0.2">
      <c r="A39" s="378">
        <f>IF('СПИСОК КЛАССА'!J55&gt;0,1,0)</f>
        <v>0</v>
      </c>
      <c r="B39" s="378">
        <v>36</v>
      </c>
      <c r="C39" s="378" t="str">
        <f>IF(NOT(ISBLANK('СПИСОК КЛАССА'!C55)),'СПИСОК КЛАССА'!C55,"")</f>
        <v/>
      </c>
      <c r="D39" s="378" t="str">
        <f>IF(NOT(ISBLANK('СПИСОК КЛАССА'!D55)),IF($A39=1,'СПИСОК КЛАССА'!D55, "УЧЕНИК НЕ ВЫПОЛНЯЛ РАБОТУ"),"")</f>
        <v/>
      </c>
      <c r="E39" s="382" t="str">
        <f>IF(AND(OR($C39&lt;&gt;"",$D39&lt;&gt;""),$A39=1,Результаты_Класс!$AI$2="ДА"),Результаты_Класс!AC55,"")</f>
        <v/>
      </c>
      <c r="F39" s="383" t="str">
        <f>IF(AND(OR($C39&lt;&gt;"",$D39&lt;&gt;""),$A39=1,Результаты_Класс!$AI$2="ДА"),Результаты_Класс!AF55,"")</f>
        <v/>
      </c>
      <c r="G39" s="384" t="str">
        <f>IF(AND(OR($C39&lt;&gt;"",$D39&lt;&gt;""),$A39=1,Результаты_Класс!$AI$2="ДА"),$G$3-F39,"")</f>
        <v/>
      </c>
      <c r="H39" s="383" t="str">
        <f>IF(AND(OR($C39&lt;&gt;"",$D39&lt;&gt;""),$A39=1,Результаты_Класс!$AI$2="ДА"),Результаты_Класс!AH55,"")</f>
        <v/>
      </c>
      <c r="I39" s="384" t="str">
        <f>IF(AND(OR($C39&lt;&gt;"",$D39&lt;&gt;""),$A39=1,Результаты_Класс!$AI$2="ДА"),$I$3-H39,"")</f>
        <v/>
      </c>
      <c r="J39" s="384">
        <v>100</v>
      </c>
      <c r="K39" s="382" t="str">
        <f>IF(AND(OR($C39&lt;&gt;"",$D39&lt;&gt;""),$A39=1,Результаты_Класс!$AI$2="ДА"),Результаты_Класс!AI55,"")</f>
        <v/>
      </c>
    </row>
    <row r="40" spans="1:11" x14ac:dyDescent="0.2">
      <c r="A40" s="378">
        <f>IF('СПИСОК КЛАССА'!J56&gt;0,1,0)</f>
        <v>0</v>
      </c>
      <c r="B40" s="378">
        <v>37</v>
      </c>
      <c r="C40" s="378" t="str">
        <f>IF(NOT(ISBLANK('СПИСОК КЛАССА'!C56)),'СПИСОК КЛАССА'!C56,"")</f>
        <v/>
      </c>
      <c r="D40" s="378" t="str">
        <f>IF(NOT(ISBLANK('СПИСОК КЛАССА'!D56)),IF($A40=1,'СПИСОК КЛАССА'!D56, "УЧЕНИК НЕ ВЫПОЛНЯЛ РАБОТУ"),"")</f>
        <v/>
      </c>
      <c r="E40" s="382" t="str">
        <f>IF(AND(OR($C40&lt;&gt;"",$D40&lt;&gt;""),$A40=1,Результаты_Класс!$AI$2="ДА"),Результаты_Класс!AC56,"")</f>
        <v/>
      </c>
      <c r="F40" s="383" t="str">
        <f>IF(AND(OR($C40&lt;&gt;"",$D40&lt;&gt;""),$A40=1,Результаты_Класс!$AI$2="ДА"),Результаты_Класс!AF56,"")</f>
        <v/>
      </c>
      <c r="G40" s="384" t="str">
        <f>IF(AND(OR($C40&lt;&gt;"",$D40&lt;&gt;""),$A40=1,Результаты_Класс!$AI$2="ДА"),$G$3-F40,"")</f>
        <v/>
      </c>
      <c r="H40" s="383" t="str">
        <f>IF(AND(OR($C40&lt;&gt;"",$D40&lt;&gt;""),$A40=1,Результаты_Класс!$AI$2="ДА"),Результаты_Класс!AH56,"")</f>
        <v/>
      </c>
      <c r="I40" s="384" t="str">
        <f>IF(AND(OR($C40&lt;&gt;"",$D40&lt;&gt;""),$A40=1,Результаты_Класс!$AI$2="ДА"),$I$3-H40,"")</f>
        <v/>
      </c>
      <c r="J40" s="384">
        <v>100</v>
      </c>
      <c r="K40" s="382" t="str">
        <f>IF(AND(OR($C40&lt;&gt;"",$D40&lt;&gt;""),$A40=1,Результаты_Класс!$AI$2="ДА"),Результаты_Класс!AI56,"")</f>
        <v/>
      </c>
    </row>
    <row r="41" spans="1:11" x14ac:dyDescent="0.2">
      <c r="A41" s="378">
        <f>IF('СПИСОК КЛАССА'!J57&gt;0,1,0)</f>
        <v>0</v>
      </c>
      <c r="B41" s="378">
        <v>38</v>
      </c>
      <c r="C41" s="378" t="str">
        <f>IF(NOT(ISBLANK('СПИСОК КЛАССА'!C57)),'СПИСОК КЛАССА'!C57,"")</f>
        <v/>
      </c>
      <c r="D41" s="378" t="str">
        <f>IF(NOT(ISBLANK('СПИСОК КЛАССА'!D57)),IF($A41=1,'СПИСОК КЛАССА'!D57, "УЧЕНИК НЕ ВЫПОЛНЯЛ РАБОТУ"),"")</f>
        <v/>
      </c>
      <c r="E41" s="382" t="str">
        <f>IF(AND(OR($C41&lt;&gt;"",$D41&lt;&gt;""),$A41=1,Результаты_Класс!$AI$2="ДА"),Результаты_Класс!AC57,"")</f>
        <v/>
      </c>
      <c r="F41" s="383" t="str">
        <f>IF(AND(OR($C41&lt;&gt;"",$D41&lt;&gt;""),$A41=1,Результаты_Класс!$AI$2="ДА"),Результаты_Класс!AF57,"")</f>
        <v/>
      </c>
      <c r="G41" s="384" t="str">
        <f>IF(AND(OR($C41&lt;&gt;"",$D41&lt;&gt;""),$A41=1,Результаты_Класс!$AI$2="ДА"),$G$3-F41,"")</f>
        <v/>
      </c>
      <c r="H41" s="383" t="str">
        <f>IF(AND(OR($C41&lt;&gt;"",$D41&lt;&gt;""),$A41=1,Результаты_Класс!$AI$2="ДА"),Результаты_Класс!AH57,"")</f>
        <v/>
      </c>
      <c r="I41" s="384" t="str">
        <f>IF(AND(OR($C41&lt;&gt;"",$D41&lt;&gt;""),$A41=1,Результаты_Класс!$AI$2="ДА"),$I$3-H41,"")</f>
        <v/>
      </c>
      <c r="J41" s="384">
        <v>100</v>
      </c>
      <c r="K41" s="382" t="str">
        <f>IF(AND(OR($C41&lt;&gt;"",$D41&lt;&gt;""),$A41=1,Результаты_Класс!$AI$2="ДА"),Результаты_Класс!AI57,"")</f>
        <v/>
      </c>
    </row>
    <row r="42" spans="1:11" x14ac:dyDescent="0.2">
      <c r="A42" s="378">
        <f>IF('СПИСОК КЛАССА'!J58&gt;0,1,0)</f>
        <v>0</v>
      </c>
      <c r="B42" s="378">
        <v>39</v>
      </c>
      <c r="C42" s="378" t="str">
        <f>IF(NOT(ISBLANK('СПИСОК КЛАССА'!C58)),'СПИСОК КЛАССА'!C58,"")</f>
        <v/>
      </c>
      <c r="D42" s="378" t="str">
        <f>IF(NOT(ISBLANK('СПИСОК КЛАССА'!D58)),IF($A42=1,'СПИСОК КЛАССА'!D58, "УЧЕНИК НЕ ВЫПОЛНЯЛ РАБОТУ"),"")</f>
        <v/>
      </c>
      <c r="E42" s="382" t="str">
        <f>IF(AND(OR($C42&lt;&gt;"",$D42&lt;&gt;""),$A42=1,Результаты_Класс!$AI$2="ДА"),Результаты_Класс!AC58,"")</f>
        <v/>
      </c>
      <c r="F42" s="383" t="str">
        <f>IF(AND(OR($C42&lt;&gt;"",$D42&lt;&gt;""),$A42=1,Результаты_Класс!$AI$2="ДА"),Результаты_Класс!AF58,"")</f>
        <v/>
      </c>
      <c r="G42" s="384" t="str">
        <f>IF(AND(OR($C42&lt;&gt;"",$D42&lt;&gt;""),$A42=1,Результаты_Класс!$AI$2="ДА"),$G$3-F42,"")</f>
        <v/>
      </c>
      <c r="H42" s="383" t="str">
        <f>IF(AND(OR($C42&lt;&gt;"",$D42&lt;&gt;""),$A42=1,Результаты_Класс!$AI$2="ДА"),Результаты_Класс!AH58,"")</f>
        <v/>
      </c>
      <c r="I42" s="384" t="str">
        <f>IF(AND(OR($C42&lt;&gt;"",$D42&lt;&gt;""),$A42=1,Результаты_Класс!$AI$2="ДА"),$I$3-H42,"")</f>
        <v/>
      </c>
      <c r="J42" s="384">
        <v>100</v>
      </c>
      <c r="K42" s="382" t="str">
        <f>IF(AND(OR($C42&lt;&gt;"",$D42&lt;&gt;""),$A42=1,Результаты_Класс!$AI$2="ДА"),Результаты_Класс!AI58,"")</f>
        <v/>
      </c>
    </row>
    <row r="43" spans="1:11" x14ac:dyDescent="0.2">
      <c r="A43" s="378">
        <f>IF('СПИСОК КЛАССА'!J59&gt;0,1,0)</f>
        <v>0</v>
      </c>
      <c r="B43" s="378">
        <v>40</v>
      </c>
      <c r="C43" s="378" t="str">
        <f>IF(NOT(ISBLANK('СПИСОК КЛАССА'!C59)),'СПИСОК КЛАССА'!C59,"")</f>
        <v/>
      </c>
      <c r="D43" s="378" t="str">
        <f>IF(NOT(ISBLANK('СПИСОК КЛАССА'!D59)),IF($A43=1,'СПИСОК КЛАССА'!D59, "УЧЕНИК НЕ ВЫПОЛНЯЛ РАБОТУ"),"")</f>
        <v/>
      </c>
      <c r="E43" s="382" t="str">
        <f>IF(AND(OR($C43&lt;&gt;"",$D43&lt;&gt;""),$A43=1,Результаты_Класс!$AI$2="ДА"),Результаты_Класс!AC59,"")</f>
        <v/>
      </c>
      <c r="F43" s="383" t="str">
        <f>IF(AND(OR($C43&lt;&gt;"",$D43&lt;&gt;""),$A43=1,Результаты_Класс!$AI$2="ДА"),Результаты_Класс!AF59,"")</f>
        <v/>
      </c>
      <c r="G43" s="384" t="str">
        <f>IF(AND(OR($C43&lt;&gt;"",$D43&lt;&gt;""),$A43=1,Результаты_Класс!$AI$2="ДА"),$G$3-F43,"")</f>
        <v/>
      </c>
      <c r="H43" s="383" t="str">
        <f>IF(AND(OR($C43&lt;&gt;"",$D43&lt;&gt;""),$A43=1,Результаты_Класс!$AI$2="ДА"),Результаты_Класс!AH59,"")</f>
        <v/>
      </c>
      <c r="I43" s="384" t="str">
        <f>IF(AND(OR($C43&lt;&gt;"",$D43&lt;&gt;""),$A43=1,Результаты_Класс!$AI$2="ДА"),$I$3-H43,"")</f>
        <v/>
      </c>
      <c r="J43" s="384">
        <v>100</v>
      </c>
      <c r="K43" s="382" t="str">
        <f>IF(AND(OR($C43&lt;&gt;"",$D43&lt;&gt;""),$A43=1,Результаты_Класс!$AI$2="ДА"),Результаты_Класс!AI59,"")</f>
        <v/>
      </c>
    </row>
    <row r="44" spans="1:11" ht="19.5" customHeight="1" x14ac:dyDescent="0.25">
      <c r="C44" s="619" t="s">
        <v>283</v>
      </c>
      <c r="D44" s="619"/>
      <c r="E44" s="385">
        <f>Результаты_Класс!AC18</f>
        <v>16.614705882352936</v>
      </c>
      <c r="F44" s="386">
        <f>Результаты_Класс!AF19</f>
        <v>77.287581699346404</v>
      </c>
      <c r="G44" s="386"/>
      <c r="H44" s="386">
        <f>Результаты_Класс!AH19</f>
        <v>45.049019607843135</v>
      </c>
      <c r="I44" s="378"/>
      <c r="J44" s="384">
        <v>100</v>
      </c>
      <c r="K44" s="378"/>
    </row>
    <row r="45" spans="1:11" x14ac:dyDescent="0.2">
      <c r="C45" t="str">
        <f>IF(NOT(ISBLANK('СПИСОК КЛАССА'!C61)),'СПИСОК КЛАССА'!C61,"")</f>
        <v/>
      </c>
    </row>
    <row r="46" spans="1:11" x14ac:dyDescent="0.2">
      <c r="C46" t="str">
        <f>IF(NOT(ISBLANK('СПИСОК КЛАССА'!C62)),'СПИСОК КЛАССА'!C62,"")</f>
        <v/>
      </c>
    </row>
    <row r="47" spans="1:11" x14ac:dyDescent="0.2">
      <c r="C47" t="str">
        <f>IF(NOT(ISBLANK('СПИСОК КЛАССА'!C63)),'СПИСОК КЛАССА'!C63,"")</f>
        <v/>
      </c>
    </row>
    <row r="48" spans="1:11" x14ac:dyDescent="0.2">
      <c r="C48" t="str">
        <f>IF(NOT(ISBLANK('СПИСОК КЛАССА'!C64)),'СПИСОК КЛАССА'!C64,"")</f>
        <v/>
      </c>
    </row>
    <row r="49" spans="3:3" x14ac:dyDescent="0.2">
      <c r="C49" t="str">
        <f>IF(NOT(ISBLANK('СПИСОК КЛАССА'!C65)),'СПИСОК КЛАССА'!C65,"")</f>
        <v/>
      </c>
    </row>
    <row r="50" spans="3:3" x14ac:dyDescent="0.2">
      <c r="C50" t="str">
        <f>IF(NOT(ISBLANK('СПИСОК КЛАССА'!C66)),'СПИСОК КЛАССА'!C66,"")</f>
        <v/>
      </c>
    </row>
    <row r="51" spans="3:3" x14ac:dyDescent="0.2">
      <c r="C51" t="str">
        <f>IF(NOT(ISBLANK('СПИСОК КЛАССА'!C67)),'СПИСОК КЛАССА'!C67,"")</f>
        <v/>
      </c>
    </row>
  </sheetData>
  <sheetProtection password="C62D" sheet="1" objects="1" scenarios="1" selectLockedCells="1" selectUnlockedCells="1"/>
  <mergeCells count="2">
    <mergeCell ref="C44:D44"/>
    <mergeCell ref="C1:K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O7"/>
  <sheetViews>
    <sheetView view="pageLayout" topLeftCell="C1" zoomScale="80" zoomScaleNormal="100" zoomScalePageLayoutView="80" workbookViewId="0">
      <selection activeCell="C2" sqref="C2"/>
    </sheetView>
  </sheetViews>
  <sheetFormatPr defaultRowHeight="12.75" x14ac:dyDescent="0.2"/>
  <cols>
    <col min="1" max="1" width="0" hidden="1" customWidth="1"/>
    <col min="2" max="2" width="5.140625" hidden="1" customWidth="1"/>
    <col min="3" max="3" width="5.5703125" customWidth="1"/>
    <col min="4" max="4" width="30.85546875" customWidth="1"/>
    <col min="5" max="5" width="8.140625" customWidth="1"/>
    <col min="6" max="6" width="14.42578125" customWidth="1"/>
    <col min="7" max="7" width="0" hidden="1" customWidth="1"/>
    <col min="8" max="8" width="12.5703125" customWidth="1"/>
    <col min="9" max="9" width="0" hidden="1" customWidth="1"/>
    <col min="10" max="10" width="16.28515625" customWidth="1"/>
  </cols>
  <sheetData>
    <row r="1" spans="3:15" ht="18" x14ac:dyDescent="0.25">
      <c r="D1" s="621" t="s">
        <v>284</v>
      </c>
      <c r="E1" s="621"/>
      <c r="F1" s="621"/>
      <c r="G1" s="621"/>
      <c r="H1" s="621"/>
      <c r="I1" s="621"/>
      <c r="J1" s="621"/>
      <c r="K1" s="621"/>
      <c r="L1" s="621"/>
      <c r="M1" s="621"/>
      <c r="N1" s="621"/>
      <c r="O1" s="621"/>
    </row>
    <row r="2" spans="3:15" x14ac:dyDescent="0.2">
      <c r="C2" t="str">
        <f>IF(NOT(ISBLANK('СПИСОК КЛАССА'!C62)),'СПИСОК КЛАССА'!C62,"")</f>
        <v/>
      </c>
    </row>
    <row r="3" spans="3:15" x14ac:dyDescent="0.2">
      <c r="C3" t="str">
        <f>IF(NOT(ISBLANK('СПИСОК КЛАССА'!C63)),'СПИСОК КЛАССА'!C63,"")</f>
        <v/>
      </c>
    </row>
    <row r="4" spans="3:15" x14ac:dyDescent="0.2">
      <c r="C4" t="str">
        <f>IF(NOT(ISBLANK('СПИСОК КЛАССА'!C64)),'СПИСОК КЛАССА'!C64,"")</f>
        <v/>
      </c>
    </row>
    <row r="5" spans="3:15" x14ac:dyDescent="0.2">
      <c r="C5" t="str">
        <f>IF(NOT(ISBLANK('СПИСОК КЛАССА'!C65)),'СПИСОК КЛАССА'!C65,"")</f>
        <v/>
      </c>
    </row>
    <row r="6" spans="3:15" x14ac:dyDescent="0.2">
      <c r="C6" t="str">
        <f>IF(NOT(ISBLANK('СПИСОК КЛАССА'!C66)),'СПИСОК КЛАССА'!C66,"")</f>
        <v/>
      </c>
    </row>
    <row r="7" spans="3:15" x14ac:dyDescent="0.2">
      <c r="C7" t="str">
        <f>IF(NOT(ISBLANK('СПИСОК КЛАССА'!C67)),'СПИСОК КЛАССА'!C67,"")</f>
        <v/>
      </c>
    </row>
  </sheetData>
  <sheetProtection password="C62D" sheet="1" scenarios="1" selectLockedCells="1" selectUnlockedCells="1"/>
  <mergeCells count="1">
    <mergeCell ref="D1:O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zoomScaleNormal="100" workbookViewId="0">
      <selection activeCell="C7" sqref="C7"/>
    </sheetView>
  </sheetViews>
  <sheetFormatPr defaultColWidth="58.5703125" defaultRowHeight="12.75" x14ac:dyDescent="0.2"/>
  <cols>
    <col min="1" max="1" width="6" style="51" customWidth="1"/>
    <col min="2" max="2" width="11.28515625" style="51" customWidth="1"/>
    <col min="3" max="23" width="6" style="51" customWidth="1"/>
    <col min="24" max="243" width="9.140625" style="51" customWidth="1"/>
    <col min="244" max="244" width="5.5703125" style="51" customWidth="1"/>
    <col min="245" max="16384" width="58.5703125" style="51"/>
  </cols>
  <sheetData>
    <row r="1" spans="1:23" ht="15.75" customHeight="1" x14ac:dyDescent="0.25">
      <c r="A1" s="622" t="s">
        <v>248</v>
      </c>
      <c r="B1" s="622"/>
      <c r="C1" s="622"/>
      <c r="D1" s="622"/>
      <c r="E1" s="622"/>
      <c r="F1" s="622"/>
      <c r="G1" s="622"/>
      <c r="H1" s="622"/>
      <c r="I1" s="622"/>
      <c r="J1" s="622"/>
      <c r="K1" s="622"/>
      <c r="L1" s="622"/>
      <c r="M1" s="622"/>
      <c r="N1" s="622"/>
      <c r="O1" s="622"/>
      <c r="P1" s="622"/>
      <c r="Q1" s="622"/>
      <c r="R1" s="622"/>
      <c r="S1" s="622"/>
      <c r="T1" s="622"/>
      <c r="U1" s="622"/>
      <c r="V1" s="622"/>
      <c r="W1" s="622"/>
    </row>
    <row r="2" spans="1:23" ht="27.75" customHeight="1" x14ac:dyDescent="0.2">
      <c r="A2" s="103" t="s">
        <v>90</v>
      </c>
      <c r="B2" s="623">
        <f>'СПИСОК КЛАССА'!E3</f>
        <v>0</v>
      </c>
      <c r="C2" s="623"/>
      <c r="D2" s="623"/>
      <c r="E2" s="623"/>
      <c r="F2" s="623"/>
      <c r="G2" s="623"/>
      <c r="H2" s="623"/>
      <c r="I2" s="623"/>
      <c r="J2" s="623"/>
      <c r="K2" s="623"/>
      <c r="L2" s="623"/>
      <c r="P2" s="628" t="s">
        <v>91</v>
      </c>
      <c r="Q2" s="628"/>
      <c r="R2" s="212" t="str">
        <f>'СПИСОК КЛАССА'!J1</f>
        <v>1001</v>
      </c>
      <c r="T2" s="211"/>
    </row>
    <row r="3" spans="1:23" ht="9" customHeight="1" x14ac:dyDescent="0.2">
      <c r="A3" s="103"/>
      <c r="B3" s="208"/>
      <c r="C3" s="208"/>
      <c r="D3" s="208"/>
      <c r="E3" s="208"/>
      <c r="F3" s="208"/>
      <c r="P3" s="209"/>
      <c r="Q3" s="209"/>
      <c r="R3" s="212"/>
      <c r="V3" s="211"/>
    </row>
    <row r="4" spans="1:23" x14ac:dyDescent="0.2">
      <c r="A4" s="629" t="s">
        <v>87</v>
      </c>
      <c r="B4" s="629"/>
      <c r="C4" s="210">
        <v>1</v>
      </c>
      <c r="D4" s="210">
        <v>2</v>
      </c>
      <c r="E4" s="210">
        <v>3</v>
      </c>
      <c r="F4" s="210">
        <v>4</v>
      </c>
      <c r="G4" s="210">
        <v>5</v>
      </c>
      <c r="H4" s="210">
        <v>6</v>
      </c>
      <c r="I4" s="210">
        <v>7</v>
      </c>
      <c r="J4" s="210">
        <v>8</v>
      </c>
      <c r="K4" s="210">
        <v>9</v>
      </c>
      <c r="L4" s="210">
        <v>10</v>
      </c>
      <c r="M4" s="210">
        <v>11</v>
      </c>
      <c r="N4" s="210">
        <v>12</v>
      </c>
      <c r="O4" s="210">
        <v>13</v>
      </c>
      <c r="P4" s="210">
        <v>14</v>
      </c>
      <c r="Q4" s="210">
        <v>15</v>
      </c>
      <c r="R4" s="210">
        <v>16</v>
      </c>
      <c r="S4" s="210">
        <v>17</v>
      </c>
      <c r="T4" s="210">
        <v>18</v>
      </c>
      <c r="U4" s="210">
        <v>19</v>
      </c>
      <c r="V4" s="210">
        <v>20</v>
      </c>
      <c r="W4" s="210">
        <v>21</v>
      </c>
    </row>
    <row r="5" spans="1:23" ht="25.5" customHeight="1" x14ac:dyDescent="0.2">
      <c r="A5" s="630" t="s">
        <v>81</v>
      </c>
      <c r="B5" s="630"/>
      <c r="C5" s="210" t="s">
        <v>86</v>
      </c>
      <c r="D5" s="210" t="s">
        <v>86</v>
      </c>
      <c r="E5" s="210" t="s">
        <v>86</v>
      </c>
      <c r="F5" s="210" t="s">
        <v>86</v>
      </c>
      <c r="G5" s="210" t="s">
        <v>86</v>
      </c>
      <c r="H5" s="210" t="s">
        <v>86</v>
      </c>
      <c r="I5" s="210" t="s">
        <v>86</v>
      </c>
      <c r="J5" s="210" t="s">
        <v>86</v>
      </c>
      <c r="K5" s="210" t="s">
        <v>86</v>
      </c>
      <c r="L5" s="210" t="s">
        <v>86</v>
      </c>
      <c r="M5" s="210" t="s">
        <v>86</v>
      </c>
      <c r="N5" s="210" t="s">
        <v>86</v>
      </c>
      <c r="O5" s="210" t="s">
        <v>86</v>
      </c>
      <c r="P5" s="210" t="s">
        <v>86</v>
      </c>
      <c r="Q5" s="210" t="s">
        <v>86</v>
      </c>
      <c r="R5" s="210" t="s">
        <v>86</v>
      </c>
      <c r="S5" s="210" t="s">
        <v>86</v>
      </c>
      <c r="T5" s="210" t="s">
        <v>86</v>
      </c>
      <c r="U5" s="210" t="s">
        <v>89</v>
      </c>
      <c r="V5" s="210" t="s">
        <v>89</v>
      </c>
      <c r="W5" s="210" t="s">
        <v>89</v>
      </c>
    </row>
    <row r="6" spans="1:23" ht="28.5" customHeight="1" x14ac:dyDescent="0.2">
      <c r="A6" s="630" t="s">
        <v>170</v>
      </c>
      <c r="B6" s="630"/>
      <c r="C6" s="626" t="s">
        <v>171</v>
      </c>
      <c r="D6" s="626"/>
      <c r="E6" s="626"/>
      <c r="F6" s="626"/>
      <c r="G6" s="626"/>
      <c r="H6" s="626"/>
      <c r="I6" s="626"/>
      <c r="J6" s="626"/>
      <c r="K6" s="626"/>
      <c r="L6" s="626"/>
      <c r="M6" s="626"/>
      <c r="N6" s="626"/>
      <c r="O6" s="626"/>
      <c r="P6" s="626"/>
      <c r="Q6" s="626"/>
      <c r="R6" s="626"/>
      <c r="S6" s="626"/>
      <c r="T6" s="626"/>
      <c r="U6" s="624" t="s">
        <v>172</v>
      </c>
      <c r="V6" s="624"/>
      <c r="W6" s="625"/>
    </row>
    <row r="7" spans="1:23" ht="54" customHeight="1" x14ac:dyDescent="0.2">
      <c r="A7" s="627" t="s">
        <v>173</v>
      </c>
      <c r="B7" s="627"/>
      <c r="C7" s="355">
        <f>План_Анализ!G10</f>
        <v>0.82352941176470584</v>
      </c>
      <c r="D7" s="355">
        <f>План_Анализ!G11</f>
        <v>0.91176470588235292</v>
      </c>
      <c r="E7" s="355">
        <f>План_Анализ!G12</f>
        <v>0.91176470588235292</v>
      </c>
      <c r="F7" s="355">
        <f>План_Анализ!G13</f>
        <v>0.97058823529411764</v>
      </c>
      <c r="G7" s="355">
        <f>План_Анализ!G14</f>
        <v>0.79411764705882348</v>
      </c>
      <c r="H7" s="355">
        <f>План_Анализ!G15</f>
        <v>0.82352941176470584</v>
      </c>
      <c r="I7" s="355">
        <f>План_Анализ!G16</f>
        <v>0.94117647058823528</v>
      </c>
      <c r="J7" s="355">
        <f>План_Анализ!G17</f>
        <v>0.82352941176470584</v>
      </c>
      <c r="K7" s="355">
        <f>План_Анализ!G18</f>
        <v>0.44117647058823528</v>
      </c>
      <c r="L7" s="355">
        <f>План_Анализ!G19</f>
        <v>0.88235294117647056</v>
      </c>
      <c r="M7" s="355">
        <f>План_Анализ!G20</f>
        <v>0.61764705882352944</v>
      </c>
      <c r="N7" s="355">
        <f>План_Анализ!G21</f>
        <v>0.73529411764705888</v>
      </c>
      <c r="O7" s="355">
        <f>План_Анализ!G22</f>
        <v>0.82352941176470584</v>
      </c>
      <c r="P7" s="355">
        <f>План_Анализ!G23</f>
        <v>0.73529411764705888</v>
      </c>
      <c r="Q7" s="355">
        <f>План_Анализ!$G24</f>
        <v>0</v>
      </c>
      <c r="R7" s="355">
        <f>План_Анализ!$G25</f>
        <v>0.76470588235294112</v>
      </c>
      <c r="S7" s="355">
        <f>План_Анализ!$G26</f>
        <v>0.97058823529411764</v>
      </c>
      <c r="T7" s="355">
        <f>План_Анализ!$G27</f>
        <v>0.94117647058823528</v>
      </c>
      <c r="U7" s="355">
        <f>План_Анализ!G28</f>
        <v>0.29411764705882354</v>
      </c>
      <c r="V7" s="355">
        <f>План_Анализ!G30</f>
        <v>0.5</v>
      </c>
      <c r="W7" s="355">
        <f>План_Анализ!G32</f>
        <v>0.29411764705882354</v>
      </c>
    </row>
    <row r="8" spans="1:23" ht="18.75" hidden="1" customHeight="1" x14ac:dyDescent="0.2">
      <c r="B8" s="356"/>
      <c r="C8" s="357">
        <v>0.3</v>
      </c>
      <c r="D8" s="357">
        <v>0.3</v>
      </c>
      <c r="E8" s="357">
        <v>0.3</v>
      </c>
      <c r="F8" s="357">
        <v>0.3</v>
      </c>
      <c r="G8" s="357">
        <v>0.3</v>
      </c>
      <c r="H8" s="357">
        <v>0.3</v>
      </c>
      <c r="I8" s="357">
        <v>0.3</v>
      </c>
      <c r="J8" s="357">
        <v>0.3</v>
      </c>
      <c r="K8" s="357">
        <v>0.3</v>
      </c>
      <c r="L8" s="357">
        <v>0.3</v>
      </c>
      <c r="M8" s="357">
        <v>0.3</v>
      </c>
      <c r="N8" s="357">
        <v>0.3</v>
      </c>
      <c r="O8" s="357">
        <v>0.3</v>
      </c>
      <c r="P8" s="357">
        <v>0.3</v>
      </c>
      <c r="Q8" s="357">
        <v>0.3</v>
      </c>
      <c r="R8" s="357">
        <v>0.3</v>
      </c>
      <c r="S8" s="357">
        <v>0.3</v>
      </c>
      <c r="T8" s="357">
        <v>0.3</v>
      </c>
      <c r="U8" s="357">
        <v>0.2</v>
      </c>
      <c r="V8" s="357">
        <v>0.2</v>
      </c>
      <c r="W8" s="357">
        <v>0.2</v>
      </c>
    </row>
    <row r="9" spans="1:23" ht="51" hidden="1" customHeight="1" x14ac:dyDescent="0.2">
      <c r="B9" s="356"/>
      <c r="C9" s="357">
        <v>0.6</v>
      </c>
      <c r="D9" s="357">
        <v>0.6</v>
      </c>
      <c r="E9" s="357">
        <v>0.6</v>
      </c>
      <c r="F9" s="357">
        <v>0.6</v>
      </c>
      <c r="G9" s="357">
        <v>0.6</v>
      </c>
      <c r="H9" s="357">
        <v>0.6</v>
      </c>
      <c r="I9" s="357">
        <v>0.6</v>
      </c>
      <c r="J9" s="357">
        <v>0.6</v>
      </c>
      <c r="K9" s="357">
        <v>0.6</v>
      </c>
      <c r="L9" s="357">
        <v>0.6</v>
      </c>
      <c r="M9" s="357">
        <v>0.6</v>
      </c>
      <c r="N9" s="357">
        <v>0.6</v>
      </c>
      <c r="O9" s="357">
        <v>0.6</v>
      </c>
      <c r="P9" s="357">
        <v>0.6</v>
      </c>
      <c r="Q9" s="357">
        <v>0.6</v>
      </c>
      <c r="R9" s="357">
        <v>0.6</v>
      </c>
      <c r="S9" s="357">
        <v>0.6</v>
      </c>
      <c r="T9" s="357">
        <v>0.6</v>
      </c>
      <c r="U9" s="357">
        <v>0.4</v>
      </c>
      <c r="V9" s="357">
        <v>0.4</v>
      </c>
      <c r="W9" s="357">
        <v>0.4</v>
      </c>
    </row>
    <row r="10" spans="1:23" ht="67.5" customHeight="1" x14ac:dyDescent="0.2">
      <c r="B10" s="356"/>
      <c r="C10" s="356"/>
      <c r="D10" s="356"/>
      <c r="E10" s="356"/>
      <c r="F10" s="356"/>
      <c r="G10" s="356"/>
      <c r="H10" s="356"/>
      <c r="I10" s="356"/>
      <c r="J10" s="356"/>
      <c r="K10" s="356"/>
      <c r="L10" s="356"/>
      <c r="M10" s="356"/>
      <c r="N10" s="356"/>
      <c r="O10" s="356"/>
      <c r="P10" s="356"/>
      <c r="Q10" s="356"/>
      <c r="R10" s="356"/>
      <c r="S10" s="356"/>
      <c r="T10" s="356"/>
      <c r="U10" s="356"/>
      <c r="V10" s="356"/>
      <c r="W10" s="356"/>
    </row>
    <row r="11" spans="1:23" ht="33.75" customHeight="1" x14ac:dyDescent="0.2"/>
    <row r="12" spans="1:23" ht="25.5" customHeight="1" x14ac:dyDescent="0.2"/>
    <row r="13" spans="1:23" ht="19.5" customHeight="1" x14ac:dyDescent="0.2"/>
    <row r="14" spans="1:23" ht="19.5" customHeight="1" x14ac:dyDescent="0.2"/>
    <row r="15" spans="1:23" ht="19.5" customHeight="1" x14ac:dyDescent="0.2"/>
    <row r="16" spans="1:23" ht="19.5" customHeight="1" x14ac:dyDescent="0.2"/>
    <row r="17" ht="19.5" customHeight="1" x14ac:dyDescent="0.2"/>
    <row r="18" ht="19.5" customHeight="1" x14ac:dyDescent="0.2"/>
    <row r="19" ht="36" customHeight="1" x14ac:dyDescent="0.2"/>
    <row r="20" ht="30.75" customHeight="1" x14ac:dyDescent="0.2"/>
    <row r="21" ht="35.25" customHeight="1" x14ac:dyDescent="0.2"/>
    <row r="22" ht="26.25" customHeight="1" x14ac:dyDescent="0.2"/>
    <row r="23" ht="24" customHeight="1" x14ac:dyDescent="0.2"/>
    <row r="24" ht="20.25" customHeight="1" x14ac:dyDescent="0.2"/>
    <row r="25" ht="20.25" customHeight="1" x14ac:dyDescent="0.2"/>
    <row r="26" ht="20.25" customHeight="1" x14ac:dyDescent="0.2"/>
    <row r="27" ht="20.25" customHeight="1" x14ac:dyDescent="0.2"/>
    <row r="28" ht="21" customHeight="1" x14ac:dyDescent="0.2"/>
    <row r="29" ht="19.5" customHeight="1" x14ac:dyDescent="0.2"/>
    <row r="30" ht="19.5" customHeight="1" x14ac:dyDescent="0.2"/>
    <row r="31" ht="20.25" customHeight="1" x14ac:dyDescent="0.2"/>
  </sheetData>
  <sheetProtection password="C62D" sheet="1" scenarios="1" selectLockedCells="1" selectUnlockedCells="1"/>
  <mergeCells count="9">
    <mergeCell ref="A1:W1"/>
    <mergeCell ref="B2:L2"/>
    <mergeCell ref="U6:W6"/>
    <mergeCell ref="C6:T6"/>
    <mergeCell ref="A7:B7"/>
    <mergeCell ref="P2:Q2"/>
    <mergeCell ref="A4:B4"/>
    <mergeCell ref="A5:B5"/>
    <mergeCell ref="A6:B6"/>
  </mergeCells>
  <pageMargins left="0.25" right="0.25" top="0.75" bottom="0.75" header="0.3" footer="0.3"/>
  <pageSetup paperSize="9" orientation="landscape" r:id="rId1"/>
  <headerFooter>
    <oddHeader>&amp;CКГБУ "Региональный центр оценки качества образования"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3</vt:i4>
      </vt:variant>
    </vt:vector>
  </HeadingPairs>
  <TitlesOfParts>
    <vt:vector size="19" baseType="lpstr">
      <vt:lpstr>СПИСОК КЛАССА</vt:lpstr>
      <vt:lpstr>ПРОТОКОЛ</vt:lpstr>
      <vt:lpstr>Анкета учителя</vt:lpstr>
      <vt:lpstr>Ответы учащихся</vt:lpstr>
      <vt:lpstr>Результаты_Класс</vt:lpstr>
      <vt:lpstr>План_Анализ</vt:lpstr>
      <vt:lpstr>Ученик</vt:lpstr>
      <vt:lpstr>Ученик_Диаграмма</vt:lpstr>
      <vt:lpstr>Коридор</vt:lpstr>
      <vt:lpstr>Д-класс</vt:lpstr>
      <vt:lpstr>Уровни</vt:lpstr>
      <vt:lpstr>Базовый_Уч</vt:lpstr>
      <vt:lpstr>Базовый_З</vt:lpstr>
      <vt:lpstr>Пов_З</vt:lpstr>
      <vt:lpstr>Критерии</vt:lpstr>
      <vt:lpstr>КИМ</vt:lpstr>
      <vt:lpstr>План_Анализ!Заголовки_для_печати</vt:lpstr>
      <vt:lpstr>'Ответы учащихся'!Область_печати</vt:lpstr>
      <vt:lpstr>Результаты_Класс!Область_печати</vt:lpstr>
    </vt:vector>
  </TitlesOfParts>
  <Company>Unknown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Patapon</cp:lastModifiedBy>
  <cp:lastPrinted>2013-11-09T13:30:06Z</cp:lastPrinted>
  <dcterms:created xsi:type="dcterms:W3CDTF">2007-09-13T11:07:26Z</dcterms:created>
  <dcterms:modified xsi:type="dcterms:W3CDTF">2014-03-28T06:15:15Z</dcterms:modified>
</cp:coreProperties>
</file>